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tsbgov-my.sharepoint.com/personal/david_lawrence_ntsb_gov/Documents/CI/CEN21LA199 Port Aransas Cirrus fatal accident/Young Eagles info/"/>
    </mc:Choice>
  </mc:AlternateContent>
  <xr:revisionPtr revIDLastSave="0" documentId="8_{0947CBB7-D410-427B-BBAF-E198FD9020C1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Query1" sheetId="1" r:id="rId1"/>
  </sheets>
  <definedNames>
    <definedName name="_xlnm._FilterDatabase" localSheetId="0" hidden="1">Query1!$A$1:$AH$16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<sst xmlns="http://schemas.openxmlformats.org/spreadsheetml/2006/main" count="441" uniqueCount="202">
  <si>
    <t>NTSBNumberFull</t>
  </si>
  <si>
    <t>SAFTILink</t>
  </si>
  <si>
    <t>InternalDocketLink</t>
  </si>
  <si>
    <t>PublicDocketLink</t>
  </si>
  <si>
    <t>ReportLink</t>
  </si>
  <si>
    <t>StepNumber</t>
  </si>
  <si>
    <t>StepId</t>
  </si>
  <si>
    <t>CaseClosed</t>
  </si>
  <si>
    <t>CaseDropped</t>
  </si>
  <si>
    <t>IICLastName</t>
  </si>
  <si>
    <t>IICFirstName</t>
  </si>
  <si>
    <t>EventType</t>
  </si>
  <si>
    <t>EventYear</t>
  </si>
  <si>
    <t>EventDate</t>
  </si>
  <si>
    <t>City</t>
  </si>
  <si>
    <t>StateOrRegion</t>
  </si>
  <si>
    <t>Country</t>
  </si>
  <si>
    <t>Latitude</t>
  </si>
  <si>
    <t>Longitude</t>
  </si>
  <si>
    <t>FatalInjuries</t>
  </si>
  <si>
    <t>SeriousInjuries</t>
  </si>
  <si>
    <t>HighestInjuryLevel</t>
  </si>
  <si>
    <t>AircraftNumber</t>
  </si>
  <si>
    <t>DamageLevel</t>
  </si>
  <si>
    <t>RegistrationNumber</t>
  </si>
  <si>
    <t>AircraftCategory</t>
  </si>
  <si>
    <t>AircraftMake</t>
  </si>
  <si>
    <t>AircraftModel</t>
  </si>
  <si>
    <t>AircraftSeries</t>
  </si>
  <si>
    <t>AmateurBuilt</t>
  </si>
  <si>
    <t>RegulationFlightConductedUnder</t>
  </si>
  <si>
    <t>FlightScheduledType</t>
  </si>
  <si>
    <t>FlightOperationType</t>
  </si>
  <si>
    <t>FTW98FA394</t>
  </si>
  <si>
    <t>Published</t>
  </si>
  <si>
    <t/>
  </si>
  <si>
    <t>ACC</t>
  </si>
  <si>
    <t>YODER</t>
  </si>
  <si>
    <t>CO</t>
  </si>
  <si>
    <t>USA</t>
  </si>
  <si>
    <t>FATL</t>
  </si>
  <si>
    <t>Destroyed</t>
  </si>
  <si>
    <t>N6288L</t>
  </si>
  <si>
    <t>AIR</t>
  </si>
  <si>
    <t>Grumman American</t>
  </si>
  <si>
    <t>AA-1B</t>
  </si>
  <si>
    <t>091</t>
  </si>
  <si>
    <t>PERS</t>
  </si>
  <si>
    <t>FTW99LA167</t>
  </si>
  <si>
    <t>JONESBORO</t>
  </si>
  <si>
    <t>AR</t>
  </si>
  <si>
    <t>NONE</t>
  </si>
  <si>
    <t>Substantial</t>
  </si>
  <si>
    <t>N2460Y</t>
  </si>
  <si>
    <t>Cessna</t>
  </si>
  <si>
    <t>172D</t>
  </si>
  <si>
    <t>NYC01LA038</t>
  </si>
  <si>
    <t>HAGERSTOWN</t>
  </si>
  <si>
    <t>MD</t>
  </si>
  <si>
    <t>N79054</t>
  </si>
  <si>
    <t>172K</t>
  </si>
  <si>
    <t>IAD01LA052</t>
  </si>
  <si>
    <t>ANNAPOLIS</t>
  </si>
  <si>
    <t>N26096</t>
  </si>
  <si>
    <t>Piper</t>
  </si>
  <si>
    <t>J3-C65</t>
  </si>
  <si>
    <t>SEA02LA159</t>
  </si>
  <si>
    <t>Nampa</t>
  </si>
  <si>
    <t>ID</t>
  </si>
  <si>
    <t>SERS</t>
  </si>
  <si>
    <t>N1888D</t>
  </si>
  <si>
    <t>Beech</t>
  </si>
  <si>
    <t>C-35</t>
  </si>
  <si>
    <t>DEN03LA016</t>
  </si>
  <si>
    <t>Elbert</t>
  </si>
  <si>
    <t>N7197C</t>
  </si>
  <si>
    <t>North American</t>
  </si>
  <si>
    <t>T-6G</t>
  </si>
  <si>
    <t>CHI05CA239</t>
  </si>
  <si>
    <t>Holland</t>
  </si>
  <si>
    <t>MI</t>
  </si>
  <si>
    <t>N6222V</t>
  </si>
  <si>
    <t>36</t>
  </si>
  <si>
    <t>LAX07CA141</t>
  </si>
  <si>
    <t>Stead</t>
  </si>
  <si>
    <t>NV</t>
  </si>
  <si>
    <t>N360DD</t>
  </si>
  <si>
    <t>BISHOP THOMAS W</t>
  </si>
  <si>
    <t>BISHOP-ACRO</t>
  </si>
  <si>
    <t>WPR09LA169</t>
  </si>
  <si>
    <t>Anderson</t>
  </si>
  <si>
    <t>Orrin</t>
  </si>
  <si>
    <t>San Carlos</t>
  </si>
  <si>
    <t>CA</t>
  </si>
  <si>
    <t>N9249W</t>
  </si>
  <si>
    <t>PIPER</t>
  </si>
  <si>
    <t>PA-28-235</t>
  </si>
  <si>
    <t>ERA11FA293</t>
  </si>
  <si>
    <t>Rayner</t>
  </si>
  <si>
    <t>Brian</t>
  </si>
  <si>
    <t>Tarentum</t>
  </si>
  <si>
    <t>PA</t>
  </si>
  <si>
    <t>N17825</t>
  </si>
  <si>
    <t>BEECH</t>
  </si>
  <si>
    <t>F33A</t>
  </si>
  <si>
    <t>WPR12CA440</t>
  </si>
  <si>
    <t>Huhn</t>
  </si>
  <si>
    <t>Michael</t>
  </si>
  <si>
    <t>Huntington</t>
  </si>
  <si>
    <t>UT</t>
  </si>
  <si>
    <t>N3115D</t>
  </si>
  <si>
    <t>CESSNA</t>
  </si>
  <si>
    <t>180</t>
  </si>
  <si>
    <t>CEN15LA413</t>
  </si>
  <si>
    <t>Malinowski</t>
  </si>
  <si>
    <t>Edward</t>
  </si>
  <si>
    <t>PORT WING</t>
  </si>
  <si>
    <t>WI</t>
  </si>
  <si>
    <t>MINR</t>
  </si>
  <si>
    <t>N328TV</t>
  </si>
  <si>
    <t>VENUS</t>
  </si>
  <si>
    <t>CP328 SUPER EMERAUDE</t>
  </si>
  <si>
    <t>CEN19LA015</t>
  </si>
  <si>
    <t>Houston</t>
  </si>
  <si>
    <t>TX</t>
  </si>
  <si>
    <t>N3973L</t>
  </si>
  <si>
    <t>172</t>
  </si>
  <si>
    <t>G</t>
  </si>
  <si>
    <t>CEN21FA199</t>
  </si>
  <si>
    <t>OnScene</t>
  </si>
  <si>
    <t>Liedler</t>
  </si>
  <si>
    <t>Courtney</t>
  </si>
  <si>
    <t>Port Aransas</t>
  </si>
  <si>
    <t>N587CD</t>
  </si>
  <si>
    <t>CIRRUS DESIGN CORP</t>
  </si>
  <si>
    <t>SR22</t>
  </si>
  <si>
    <t>NSCH</t>
  </si>
  <si>
    <t>CEN21LA208</t>
  </si>
  <si>
    <t>Gallo</t>
  </si>
  <si>
    <t>Mitch</t>
  </si>
  <si>
    <t>Hutchinson</t>
  </si>
  <si>
    <t>KS</t>
  </si>
  <si>
    <t>N2378Z</t>
  </si>
  <si>
    <t>23</t>
  </si>
  <si>
    <t>Mkey</t>
  </si>
  <si>
    <t>ERA10CA002</t>
  </si>
  <si>
    <t>Cox</t>
  </si>
  <si>
    <t>Paul</t>
  </si>
  <si>
    <t>Highgate</t>
  </si>
  <si>
    <t>VT</t>
  </si>
  <si>
    <t>N9237P</t>
  </si>
  <si>
    <t>PA-24-260</t>
  </si>
  <si>
    <t>WPR11LA412</t>
  </si>
  <si>
    <t>Pollack</t>
  </si>
  <si>
    <t>Wayne</t>
  </si>
  <si>
    <t>Albany</t>
  </si>
  <si>
    <t>OR</t>
  </si>
  <si>
    <t>N642DW</t>
  </si>
  <si>
    <t>WHEELER</t>
  </si>
  <si>
    <t>VANS RV-6A</t>
  </si>
  <si>
    <t>ERA14FA459</t>
  </si>
  <si>
    <t>Lancaster</t>
  </si>
  <si>
    <t>NY</t>
  </si>
  <si>
    <t>N9679H</t>
  </si>
  <si>
    <t>172M</t>
  </si>
  <si>
    <t>CEN17CA218</t>
  </si>
  <si>
    <t>Sauer</t>
  </si>
  <si>
    <t>Aaron</t>
  </si>
  <si>
    <t>Plainwell</t>
  </si>
  <si>
    <t>N30462</t>
  </si>
  <si>
    <t>177</t>
  </si>
  <si>
    <t>A</t>
  </si>
  <si>
    <t>GAA17CA395</t>
  </si>
  <si>
    <t>Vanover</t>
  </si>
  <si>
    <t>Jackie</t>
  </si>
  <si>
    <t>San Jose</t>
  </si>
  <si>
    <t>Minor</t>
  </si>
  <si>
    <t>N1746R</t>
  </si>
  <si>
    <t>R182</t>
  </si>
  <si>
    <t>RG</t>
  </si>
  <si>
    <t>GAA17CA485</t>
  </si>
  <si>
    <t>Benhoff</t>
  </si>
  <si>
    <t>Kathryn</t>
  </si>
  <si>
    <t>Sparta</t>
  </si>
  <si>
    <t>N52450</t>
  </si>
  <si>
    <t>182</t>
  </si>
  <si>
    <t>P</t>
  </si>
  <si>
    <t>GAA18CA132</t>
  </si>
  <si>
    <t>Carson City</t>
  </si>
  <si>
    <t>N88ZQ</t>
  </si>
  <si>
    <t>CUBCRAFTERS INC</t>
  </si>
  <si>
    <t>CC11-160</t>
  </si>
  <si>
    <t>NO SERIES</t>
  </si>
  <si>
    <t>GAA20CA026</t>
  </si>
  <si>
    <t>Gutierrez</t>
  </si>
  <si>
    <t>Eric</t>
  </si>
  <si>
    <t>Lusby</t>
  </si>
  <si>
    <t>N15WL</t>
  </si>
  <si>
    <t>LLEWELLYN, WARWINC W</t>
  </si>
  <si>
    <t>Vans RV-4</t>
  </si>
  <si>
    <t>150</t>
  </si>
  <si>
    <t>SAFTI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</si>
</sst>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0" fillId="8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right"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horizontal="right" vertical="center" wrapText="1"/>
    </xf>
    <xf numFmtId="164" fontId="6" fillId="7" borderId="6" xfId="0" applyNumberFormat="1" applyFont="1" applyFill="1" applyBorder="1" applyAlignment="1" applyProtection="1">
      <alignment horizontal="right" vertical="center" wrapText="1"/>
    </xf>
    <xf numFmtId="0" fontId="7" fillId="8" borderId="7" xfId="0" applyFont="1" applyFill="1" applyBorder="1" applyAlignment="1" applyProtection="1">
      <alignment horizontal="right" vertical="center" wrapText="1"/>
    </xf>
    <xf numFmtId="0" fontId="8" fillId="4" borderId="3" xfId="1" applyFill="1" applyBorder="1" applyAlignment="1" applyProtection="1">
      <alignment vertical="center" wrapText="1"/>
    </xf>
    <xf numFmtId="0" fontId="10" fillId="8" borderId="0" xfId="2"/>
    <xf numFmtId="0" fontId="9" fillId="8" borderId="8" xfId="2" applyFont="1" applyBorder="1" applyAlignment="1">
      <alignment horizontal="right" wrapText="1"/>
    </xf>
    <xf numFmtId="0" fontId="9" fillId="8" borderId="8" xfId="2" applyFont="1" applyBorder="1" applyAlignment="1">
      <alignment wrapText="1"/>
    </xf>
    <xf numFmtId="0" fontId="8" fillId="0" borderId="8" xfId="1" applyBorder="1" applyAlignment="1">
      <alignment wrapText="1"/>
    </xf>
    <xf numFmtId="164" fontId="9" fillId="8" borderId="8" xfId="2" applyNumberFormat="1" applyFont="1" applyBorder="1" applyAlignment="1">
      <alignment horizontal="right" wrapText="1"/>
    </xf>
    <xf numFmtId="0" fontId="0" fillId="9" borderId="0" xfId="0" applyFill="1"/>
  </cellXfs>
  <cellStyles count="3">
    <cellStyle name="Hyperlink" xfId="1" builtinId="8"/>
    <cellStyle name="Normal" xfId="0" builtinId="0"/>
    <cellStyle name="Normal_Sheet1" xfId="2" xr:uid="{78DD1D21-3ADC-45C8-86B1-7DDE4F697D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25"/>
  <sheetViews>
    <sheetView tabSelected="1" workbookViewId="0">
      <selection activeCell="A26" sqref="A26:XFD26"/>
    </sheetView>
  </sheetViews>
  <sheetFormatPr defaultRowHeight="15" customHeight="1" x14ac:dyDescent="0.3"/>
  <cols>
    <col min="1" max="1" width="10.5546875" bestFit="1" customWidth="1"/>
    <col min="2" max="2" width="16.21875" bestFit="1" customWidth="1"/>
    <col min="3" max="3" width="9.44140625" bestFit="1" customWidth="1"/>
    <col min="4" max="4" width="18" bestFit="1" customWidth="1"/>
    <col min="5" max="5" width="16.21875" bestFit="1" customWidth="1"/>
    <col min="6" max="6" width="10.5546875" bestFit="1" customWidth="1"/>
    <col min="7" max="7" width="12.21875" bestFit="1" customWidth="1"/>
    <col min="8" max="8" width="9.77734375" bestFit="1" customWidth="1"/>
    <col min="9" max="9" width="11.21875" bestFit="1" customWidth="1"/>
    <col min="10" max="10" width="12.77734375" bestFit="1" customWidth="1"/>
    <col min="11" max="11" width="12" bestFit="1" customWidth="1"/>
    <col min="12" max="12" width="12.44140625" bestFit="1" customWidth="1"/>
    <col min="13" max="13" width="10.21875" bestFit="1" customWidth="1"/>
    <col min="14" max="14" width="10" bestFit="1" customWidth="1"/>
    <col min="15" max="15" width="10.21875" bestFit="1" customWidth="1"/>
    <col min="16" max="16" width="13.77734375" bestFit="1" customWidth="1"/>
    <col min="17" max="17" width="14" customWidth="1"/>
    <col min="18" max="18" width="8" bestFit="1" customWidth="1"/>
    <col min="19" max="19" width="9.5546875" bestFit="1" customWidth="1"/>
    <col min="20" max="20" width="11.21875" bestFit="1" customWidth="1"/>
    <col min="21" max="21" width="12" bestFit="1" customWidth="1"/>
    <col min="22" max="22" width="14.44140625" bestFit="1" customWidth="1"/>
    <col min="23" max="23" width="17.77734375" bestFit="1" customWidth="1"/>
    <col min="24" max="24" width="15" bestFit="1" customWidth="1"/>
    <col min="25" max="25" width="12.77734375" bestFit="1" customWidth="1"/>
    <col min="26" max="26" width="19.21875" bestFit="1" customWidth="1"/>
    <col min="27" max="27" width="15.5546875" bestFit="1" customWidth="1"/>
    <col min="28" max="28" width="19.77734375" bestFit="1" customWidth="1"/>
    <col min="29" max="29" width="22.77734375" bestFit="1" customWidth="1"/>
    <col min="30" max="30" width="13.21875" bestFit="1" customWidth="1"/>
    <col min="31" max="31" width="12.77734375" bestFit="1" customWidth="1"/>
    <col min="32" max="32" width="31.44140625" bestFit="1" customWidth="1"/>
    <col min="33" max="33" width="19.77734375" bestFit="1" customWidth="1"/>
    <col min="34" max="34" width="19.5546875" bestFit="1" customWidth="1"/>
  </cols>
  <sheetData>
    <row r="1" spans="1:34" ht="15" customHeight="1" x14ac:dyDescent="0.3">
      <c r="A1" s="1" t="s">
        <v>144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</row>
    <row r="2" spans="1:34" ht="15" customHeight="1" x14ac:dyDescent="0.3">
      <c r="A2" s="2">
        <v>43922</v>
      </c>
      <c r="B2" s="3" t="s">
        <v>33</v>
      </c>
      <c r="C2" s="8" t="str">
        <f>HYPERLINK("http://safti.ntsb.int/safti-main/Aviation/case/43922/","SAFTI")</f>
        <v>SAFTI</v>
      </c>
      <c r="D2" s="8" t="str">
        <f>HYPERLINK("http://mydms.ntsb.int/otcs/cs.exe?func=ntsbdms.viewdocketsummary&amp;mkey=43922","myDMS")</f>
        <v>myDMS</v>
      </c>
      <c r="E2" s="8" t="str">
        <f>HYPERLINK("https://data.ntsb.gov/Docket?ProjectID=43922","PublicDocket")</f>
        <v>PublicDocket</v>
      </c>
      <c r="F2" s="8" t="str">
        <f>HYPERLINK("https://app.ntsb.gov/pdfgenerator/ReportGeneratorFile.ashx?EventID=20001211X11046&amp;AKey=1&amp;RType=Final&amp;IType=FA","Report")</f>
        <v>Report</v>
      </c>
      <c r="G2" s="2">
        <v>8</v>
      </c>
      <c r="H2" s="3" t="s">
        <v>34</v>
      </c>
      <c r="I2" s="4" t="b">
        <v>1</v>
      </c>
      <c r="J2" s="4" t="b">
        <v>0</v>
      </c>
      <c r="K2" s="3" t="s">
        <v>35</v>
      </c>
      <c r="L2" s="3" t="s">
        <v>35</v>
      </c>
      <c r="M2" s="3" t="s">
        <v>36</v>
      </c>
      <c r="N2" s="5">
        <v>1998</v>
      </c>
      <c r="O2" s="6">
        <v>36050</v>
      </c>
      <c r="P2" s="3" t="s">
        <v>37</v>
      </c>
      <c r="Q2" s="3" t="s">
        <v>38</v>
      </c>
      <c r="R2" s="3" t="s">
        <v>39</v>
      </c>
      <c r="S2" s="7">
        <v>38.839992000000002</v>
      </c>
      <c r="T2" s="7">
        <v>-104.22050400000001</v>
      </c>
      <c r="U2" s="7">
        <v>2</v>
      </c>
      <c r="V2" s="7">
        <v>0</v>
      </c>
      <c r="W2" s="3" t="s">
        <v>40</v>
      </c>
      <c r="X2" s="2">
        <v>1</v>
      </c>
      <c r="Y2" s="3" t="s">
        <v>41</v>
      </c>
      <c r="Z2" s="3" t="s">
        <v>42</v>
      </c>
      <c r="AA2" s="3" t="s">
        <v>43</v>
      </c>
      <c r="AB2" s="3" t="s">
        <v>44</v>
      </c>
      <c r="AC2" s="3" t="s">
        <v>45</v>
      </c>
      <c r="AD2" s="3" t="s">
        <v>45</v>
      </c>
      <c r="AE2" s="4" t="b">
        <v>0</v>
      </c>
      <c r="AF2" s="3" t="s">
        <v>46</v>
      </c>
      <c r="AG2" s="3" t="s">
        <v>35</v>
      </c>
      <c r="AH2" s="3" t="s">
        <v>47</v>
      </c>
    </row>
    <row r="3" spans="1:34" ht="15" customHeight="1" x14ac:dyDescent="0.3">
      <c r="A3" s="2">
        <v>46554</v>
      </c>
      <c r="B3" s="3" t="s">
        <v>48</v>
      </c>
      <c r="C3" s="8" t="str">
        <f>HYPERLINK("http://safti.ntsb.int/safti-main/Aviation/case/46554/","SAFTI")</f>
        <v>SAFTI</v>
      </c>
      <c r="D3" s="8" t="str">
        <f>HYPERLINK("http://mydms.ntsb.int/otcs/cs.exe?func=ntsbdms.viewdocketsummary&amp;mkey=46554","myDMS")</f>
        <v>myDMS</v>
      </c>
      <c r="E3" s="8" t="str">
        <f>HYPERLINK("https://data.ntsb.gov/Docket?ProjectID=46554","PublicDocket")</f>
        <v>PublicDocket</v>
      </c>
      <c r="F3" s="8" t="str">
        <f>HYPERLINK("https://app.ntsb.gov/pdfgenerator/ReportGeneratorFile.ashx?EventID=20001212X19001&amp;AKey=1&amp;RType=Final&amp;IType=LA","Report")</f>
        <v>Report</v>
      </c>
      <c r="G3" s="2">
        <v>8</v>
      </c>
      <c r="H3" s="3" t="s">
        <v>34</v>
      </c>
      <c r="I3" s="4" t="b">
        <v>1</v>
      </c>
      <c r="J3" s="4" t="b">
        <v>0</v>
      </c>
      <c r="K3" s="3" t="s">
        <v>35</v>
      </c>
      <c r="L3" s="3" t="s">
        <v>35</v>
      </c>
      <c r="M3" s="3" t="s">
        <v>36</v>
      </c>
      <c r="N3" s="5">
        <v>1999</v>
      </c>
      <c r="O3" s="6">
        <v>36323</v>
      </c>
      <c r="P3" s="3" t="s">
        <v>49</v>
      </c>
      <c r="Q3" s="3" t="s">
        <v>50</v>
      </c>
      <c r="R3" s="3" t="s">
        <v>39</v>
      </c>
      <c r="U3" s="7">
        <v>0</v>
      </c>
      <c r="V3" s="7">
        <v>0</v>
      </c>
      <c r="W3" s="3" t="s">
        <v>51</v>
      </c>
      <c r="X3" s="2">
        <v>1</v>
      </c>
      <c r="Y3" s="3" t="s">
        <v>52</v>
      </c>
      <c r="Z3" s="3" t="s">
        <v>53</v>
      </c>
      <c r="AA3" s="3" t="s">
        <v>43</v>
      </c>
      <c r="AB3" s="3" t="s">
        <v>54</v>
      </c>
      <c r="AC3" s="3" t="s">
        <v>55</v>
      </c>
      <c r="AD3" s="3" t="s">
        <v>55</v>
      </c>
      <c r="AE3" s="4" t="b">
        <v>0</v>
      </c>
      <c r="AF3" s="3" t="s">
        <v>46</v>
      </c>
      <c r="AG3" s="3" t="s">
        <v>35</v>
      </c>
      <c r="AH3" s="3" t="s">
        <v>47</v>
      </c>
    </row>
    <row r="4" spans="1:34" ht="15" customHeight="1" x14ac:dyDescent="0.3">
      <c r="A4" s="2">
        <v>50638</v>
      </c>
      <c r="B4" s="3" t="s">
        <v>56</v>
      </c>
      <c r="C4" s="8" t="str">
        <f>HYPERLINK("http://safti.ntsb.int/safti-main/Aviation/case/50638/","SAFTI")</f>
        <v>SAFTI</v>
      </c>
      <c r="D4" s="8" t="str">
        <f>HYPERLINK("http://mydms.ntsb.int/otcs/cs.exe?func=ntsbdms.viewdocketsummary&amp;mkey=50638","myDMS")</f>
        <v>myDMS</v>
      </c>
      <c r="E4" s="8" t="str">
        <f>HYPERLINK("https://data.ntsb.gov/Docket?ProjectID=50638","PublicDocket")</f>
        <v>PublicDocket</v>
      </c>
      <c r="F4" s="8" t="str">
        <f>HYPERLINK("https://app.ntsb.gov/pdfgenerator/ReportGeneratorFile.ashx?EventID=20001212X22332&amp;AKey=1&amp;RType=Final&amp;IType=LA","Report")</f>
        <v>Report</v>
      </c>
      <c r="G4" s="2">
        <v>8</v>
      </c>
      <c r="H4" s="3" t="s">
        <v>34</v>
      </c>
      <c r="I4" s="4" t="b">
        <v>1</v>
      </c>
      <c r="J4" s="4" t="b">
        <v>0</v>
      </c>
      <c r="K4" s="3" t="s">
        <v>35</v>
      </c>
      <c r="L4" s="3" t="s">
        <v>35</v>
      </c>
      <c r="M4" s="3" t="s">
        <v>36</v>
      </c>
      <c r="N4" s="5">
        <v>2000</v>
      </c>
      <c r="O4" s="6">
        <v>36847</v>
      </c>
      <c r="P4" s="3" t="s">
        <v>57</v>
      </c>
      <c r="Q4" s="3" t="s">
        <v>58</v>
      </c>
      <c r="R4" s="3" t="s">
        <v>39</v>
      </c>
      <c r="S4" s="7">
        <v>39.629660999999999</v>
      </c>
      <c r="T4" s="7">
        <v>-77.710334000000003</v>
      </c>
      <c r="U4" s="7">
        <v>0</v>
      </c>
      <c r="V4" s="7">
        <v>0</v>
      </c>
      <c r="W4" s="3" t="s">
        <v>51</v>
      </c>
      <c r="X4" s="2">
        <v>1</v>
      </c>
      <c r="Y4" s="3" t="s">
        <v>52</v>
      </c>
      <c r="Z4" s="3" t="s">
        <v>59</v>
      </c>
      <c r="AA4" s="3" t="s">
        <v>43</v>
      </c>
      <c r="AB4" s="3" t="s">
        <v>54</v>
      </c>
      <c r="AC4" s="3" t="s">
        <v>60</v>
      </c>
      <c r="AD4" s="3" t="s">
        <v>60</v>
      </c>
      <c r="AE4" s="4" t="b">
        <v>0</v>
      </c>
      <c r="AF4" s="3" t="s">
        <v>46</v>
      </c>
      <c r="AG4" s="3" t="s">
        <v>35</v>
      </c>
      <c r="AH4" s="3" t="s">
        <v>47</v>
      </c>
    </row>
    <row r="5" spans="1:34" ht="15" customHeight="1" x14ac:dyDescent="0.3">
      <c r="A5" s="2">
        <v>52168</v>
      </c>
      <c r="B5" s="3" t="s">
        <v>61</v>
      </c>
      <c r="C5" s="8" t="str">
        <f>HYPERLINK("http://safti.ntsb.int/safti-main/Aviation/case/52168/","SAFTI")</f>
        <v>SAFTI</v>
      </c>
      <c r="D5" s="8" t="str">
        <f>HYPERLINK("http://mydms.ntsb.int/otcs/cs.exe?func=ntsbdms.viewdocketsummary&amp;mkey=52168","myDMS")</f>
        <v>myDMS</v>
      </c>
      <c r="E5" s="8" t="str">
        <f>HYPERLINK("https://data.ntsb.gov/Docket?ProjectID=52168","PublicDocket")</f>
        <v>PublicDocket</v>
      </c>
      <c r="F5" s="8" t="str">
        <f>HYPERLINK("https://app.ntsb.gov/pdfgenerator/ReportGeneratorFile.ashx?EventID=20010504X00880&amp;AKey=1&amp;RType=Final&amp;IType=LA","Report")</f>
        <v>Report</v>
      </c>
      <c r="G5" s="2">
        <v>8</v>
      </c>
      <c r="H5" s="3" t="s">
        <v>34</v>
      </c>
      <c r="I5" s="4" t="b">
        <v>1</v>
      </c>
      <c r="J5" s="4" t="b">
        <v>0</v>
      </c>
      <c r="K5" s="3" t="s">
        <v>35</v>
      </c>
      <c r="L5" s="3" t="s">
        <v>35</v>
      </c>
      <c r="M5" s="3" t="s">
        <v>36</v>
      </c>
      <c r="N5" s="5">
        <v>2001</v>
      </c>
      <c r="O5" s="6">
        <v>37009</v>
      </c>
      <c r="P5" s="3" t="s">
        <v>62</v>
      </c>
      <c r="Q5" s="3" t="s">
        <v>58</v>
      </c>
      <c r="R5" s="3" t="s">
        <v>39</v>
      </c>
      <c r="S5" s="7">
        <v>38.990279999999998</v>
      </c>
      <c r="T5" s="7">
        <v>-76.550498000000005</v>
      </c>
      <c r="W5" s="3" t="s">
        <v>51</v>
      </c>
      <c r="X5" s="2">
        <v>1</v>
      </c>
      <c r="Y5" s="3" t="s">
        <v>52</v>
      </c>
      <c r="Z5" s="3" t="s">
        <v>63</v>
      </c>
      <c r="AA5" s="3" t="s">
        <v>43</v>
      </c>
      <c r="AB5" s="3" t="s">
        <v>64</v>
      </c>
      <c r="AC5" s="3" t="s">
        <v>65</v>
      </c>
      <c r="AD5" s="3" t="s">
        <v>35</v>
      </c>
      <c r="AE5" s="4" t="b">
        <v>0</v>
      </c>
      <c r="AF5" s="3" t="s">
        <v>46</v>
      </c>
      <c r="AG5" s="3" t="s">
        <v>35</v>
      </c>
      <c r="AH5" s="3" t="s">
        <v>47</v>
      </c>
    </row>
    <row r="6" spans="1:34" ht="15" customHeight="1" x14ac:dyDescent="0.3">
      <c r="A6" s="2">
        <v>55513</v>
      </c>
      <c r="B6" s="3" t="s">
        <v>66</v>
      </c>
      <c r="C6" s="8" t="str">
        <f>HYPERLINK("http://safti.ntsb.int/safti-main/Aviation/case/55513/","SAFTI")</f>
        <v>SAFTI</v>
      </c>
      <c r="D6" s="8" t="str">
        <f>HYPERLINK("http://mydms.ntsb.int/otcs/cs.exe?func=ntsbdms.viewdocketsummary&amp;mkey=55513","myDMS")</f>
        <v>myDMS</v>
      </c>
      <c r="E6" s="8" t="str">
        <f>HYPERLINK("https://data.ntsb.gov/Docket?ProjectID=55513","PublicDocket")</f>
        <v>PublicDocket</v>
      </c>
      <c r="F6" s="8" t="str">
        <f>HYPERLINK("https://app.ntsb.gov/pdfgenerator/ReportGeneratorFile.ashx?EventID=20020820X01437&amp;AKey=1&amp;RType=Final&amp;IType=LA","Report")</f>
        <v>Report</v>
      </c>
      <c r="G6" s="2">
        <v>8</v>
      </c>
      <c r="H6" s="3" t="s">
        <v>34</v>
      </c>
      <c r="I6" s="4" t="b">
        <v>1</v>
      </c>
      <c r="J6" s="4" t="b">
        <v>0</v>
      </c>
      <c r="K6" s="3" t="s">
        <v>35</v>
      </c>
      <c r="L6" s="3" t="s">
        <v>35</v>
      </c>
      <c r="M6" s="3" t="s">
        <v>36</v>
      </c>
      <c r="N6" s="5">
        <v>2002</v>
      </c>
      <c r="O6" s="6">
        <v>37485</v>
      </c>
      <c r="P6" s="3" t="s">
        <v>67</v>
      </c>
      <c r="Q6" s="3" t="s">
        <v>68</v>
      </c>
      <c r="R6" s="3" t="s">
        <v>39</v>
      </c>
      <c r="S6" s="7">
        <v>43.581389999999999</v>
      </c>
      <c r="T6" s="7">
        <v>-116.527221</v>
      </c>
      <c r="V6" s="7">
        <v>1</v>
      </c>
      <c r="W6" s="3" t="s">
        <v>69</v>
      </c>
      <c r="X6" s="2">
        <v>1</v>
      </c>
      <c r="Y6" s="3" t="s">
        <v>52</v>
      </c>
      <c r="Z6" s="3" t="s">
        <v>70</v>
      </c>
      <c r="AA6" s="3" t="s">
        <v>43</v>
      </c>
      <c r="AB6" s="3" t="s">
        <v>71</v>
      </c>
      <c r="AC6" s="3" t="s">
        <v>72</v>
      </c>
      <c r="AD6" s="3" t="s">
        <v>35</v>
      </c>
      <c r="AE6" s="4" t="b">
        <v>0</v>
      </c>
      <c r="AF6" s="3" t="s">
        <v>46</v>
      </c>
      <c r="AG6" s="3" t="s">
        <v>35</v>
      </c>
      <c r="AH6" s="3" t="s">
        <v>47</v>
      </c>
    </row>
    <row r="7" spans="1:34" ht="15" customHeight="1" x14ac:dyDescent="0.3">
      <c r="A7" s="2">
        <v>56071</v>
      </c>
      <c r="B7" s="3" t="s">
        <v>73</v>
      </c>
      <c r="C7" s="8" t="str">
        <f>HYPERLINK("http://safti.ntsb.int/safti-main/Aviation/case/56071/","SAFTI")</f>
        <v>SAFTI</v>
      </c>
      <c r="D7" s="8" t="str">
        <f>HYPERLINK("http://mydms.ntsb.int/otcs/cs.exe?func=ntsbdms.viewdocketsummary&amp;mkey=56071","myDMS")</f>
        <v>myDMS</v>
      </c>
      <c r="E7" s="8" t="str">
        <f>HYPERLINK("https://data.ntsb.gov/Docket?ProjectID=56071","PublicDocket")</f>
        <v>PublicDocket</v>
      </c>
      <c r="F7" s="8" t="str">
        <f>HYPERLINK("https://app.ntsb.gov/pdfgenerator/ReportGeneratorFile.ashx?EventID=20021120X05491&amp;AKey=1&amp;RType=Final&amp;IType=LA","Report")</f>
        <v>Report</v>
      </c>
      <c r="G7" s="2">
        <v>8</v>
      </c>
      <c r="H7" s="3" t="s">
        <v>34</v>
      </c>
      <c r="I7" s="4" t="b">
        <v>1</v>
      </c>
      <c r="J7" s="4" t="b">
        <v>0</v>
      </c>
      <c r="K7" s="3" t="s">
        <v>35</v>
      </c>
      <c r="L7" s="3" t="s">
        <v>35</v>
      </c>
      <c r="M7" s="3" t="s">
        <v>36</v>
      </c>
      <c r="N7" s="5">
        <v>2002</v>
      </c>
      <c r="O7" s="6">
        <v>37577</v>
      </c>
      <c r="P7" s="3" t="s">
        <v>74</v>
      </c>
      <c r="Q7" s="3" t="s">
        <v>38</v>
      </c>
      <c r="R7" s="3" t="s">
        <v>39</v>
      </c>
      <c r="S7" s="7">
        <v>39.223609000000003</v>
      </c>
      <c r="T7" s="7">
        <v>-104.64082999999999</v>
      </c>
      <c r="W7" s="3" t="s">
        <v>51</v>
      </c>
      <c r="X7" s="2">
        <v>1</v>
      </c>
      <c r="Y7" s="3" t="s">
        <v>52</v>
      </c>
      <c r="Z7" s="3" t="s">
        <v>75</v>
      </c>
      <c r="AA7" s="3" t="s">
        <v>43</v>
      </c>
      <c r="AB7" s="3" t="s">
        <v>76</v>
      </c>
      <c r="AC7" s="3" t="s">
        <v>77</v>
      </c>
      <c r="AD7" s="3" t="s">
        <v>35</v>
      </c>
      <c r="AE7" s="4" t="b">
        <v>0</v>
      </c>
      <c r="AF7" s="3" t="s">
        <v>46</v>
      </c>
      <c r="AG7" s="3" t="s">
        <v>35</v>
      </c>
      <c r="AH7" s="3" t="s">
        <v>47</v>
      </c>
    </row>
    <row r="8" spans="1:34" ht="15" customHeight="1" x14ac:dyDescent="0.3">
      <c r="A8" s="2">
        <v>62421</v>
      </c>
      <c r="B8" s="3" t="s">
        <v>78</v>
      </c>
      <c r="C8" s="8" t="str">
        <f>HYPERLINK("http://safti.ntsb.int/safti-main/Aviation/case/62421/","SAFTI")</f>
        <v>SAFTI</v>
      </c>
      <c r="D8" s="8" t="str">
        <f>HYPERLINK("http://mydms.ntsb.int/otcs/cs.exe?func=ntsbdms.viewdocketsummary&amp;mkey=62421","myDMS")</f>
        <v>myDMS</v>
      </c>
      <c r="E8" s="8" t="str">
        <f>HYPERLINK("https://data.ntsb.gov/Docket?ProjectID=62421","PublicDocket")</f>
        <v>PublicDocket</v>
      </c>
      <c r="F8" s="8" t="str">
        <f>HYPERLINK("https://app.ntsb.gov/pdfgenerator/ReportGeneratorFile.ashx?EventID=20050914X01450&amp;AKey=1&amp;RType=Final&amp;IType=CA","Report")</f>
        <v>Report</v>
      </c>
      <c r="G8" s="2">
        <v>8</v>
      </c>
      <c r="H8" s="3" t="s">
        <v>34</v>
      </c>
      <c r="I8" s="4" t="b">
        <v>1</v>
      </c>
      <c r="J8" s="4" t="b">
        <v>0</v>
      </c>
      <c r="K8" s="3" t="s">
        <v>35</v>
      </c>
      <c r="L8" s="3" t="s">
        <v>35</v>
      </c>
      <c r="M8" s="3" t="s">
        <v>36</v>
      </c>
      <c r="N8" s="5">
        <v>2005</v>
      </c>
      <c r="O8" s="6">
        <v>38584</v>
      </c>
      <c r="P8" s="3" t="s">
        <v>79</v>
      </c>
      <c r="Q8" s="3" t="s">
        <v>80</v>
      </c>
      <c r="R8" s="3" t="s">
        <v>39</v>
      </c>
      <c r="S8" s="7">
        <v>42.795833000000002</v>
      </c>
      <c r="T8" s="7">
        <v>-86.161940999999999</v>
      </c>
      <c r="W8" s="3" t="s">
        <v>51</v>
      </c>
      <c r="X8" s="2">
        <v>1</v>
      </c>
      <c r="Y8" s="3" t="s">
        <v>52</v>
      </c>
      <c r="Z8" s="3" t="s">
        <v>81</v>
      </c>
      <c r="AA8" s="3" t="s">
        <v>43</v>
      </c>
      <c r="AB8" s="3" t="s">
        <v>71</v>
      </c>
      <c r="AC8" s="3" t="s">
        <v>82</v>
      </c>
      <c r="AD8" s="3" t="s">
        <v>35</v>
      </c>
      <c r="AE8" s="4" t="b">
        <v>0</v>
      </c>
      <c r="AF8" s="3" t="s">
        <v>46</v>
      </c>
      <c r="AG8" s="3" t="s">
        <v>35</v>
      </c>
      <c r="AH8" s="3" t="s">
        <v>47</v>
      </c>
    </row>
    <row r="9" spans="1:34" ht="15" customHeight="1" x14ac:dyDescent="0.3">
      <c r="A9" s="2">
        <v>65720</v>
      </c>
      <c r="B9" s="3" t="s">
        <v>83</v>
      </c>
      <c r="C9" s="8" t="str">
        <f>HYPERLINK("http://safti.ntsb.int/safti-main/Aviation/case/65720/","SAFTI")</f>
        <v>SAFTI</v>
      </c>
      <c r="D9" s="8" t="str">
        <f>HYPERLINK("http://mydms.ntsb.int/otcs/cs.exe?func=ntsbdms.viewdocketsummary&amp;mkey=65720","myDMS")</f>
        <v>myDMS</v>
      </c>
      <c r="E9" s="8" t="str">
        <f>HYPERLINK("https://data.ntsb.gov/Docket?ProjectID=65720","PublicDocket")</f>
        <v>PublicDocket</v>
      </c>
      <c r="F9" s="8" t="str">
        <f>HYPERLINK("https://app.ntsb.gov/pdfgenerator/ReportGeneratorFile.ashx?EventID=20070628X00824&amp;AKey=1&amp;RType=Final&amp;IType=CA","Report")</f>
        <v>Report</v>
      </c>
      <c r="G9" s="2">
        <v>8</v>
      </c>
      <c r="H9" s="3" t="s">
        <v>34</v>
      </c>
      <c r="I9" s="4" t="b">
        <v>1</v>
      </c>
      <c r="J9" s="4" t="b">
        <v>0</v>
      </c>
      <c r="K9" s="3" t="s">
        <v>35</v>
      </c>
      <c r="L9" s="3" t="s">
        <v>35</v>
      </c>
      <c r="M9" s="3" t="s">
        <v>36</v>
      </c>
      <c r="N9" s="5">
        <v>2007</v>
      </c>
      <c r="O9" s="6">
        <v>39201</v>
      </c>
      <c r="P9" s="3" t="s">
        <v>84</v>
      </c>
      <c r="Q9" s="3" t="s">
        <v>85</v>
      </c>
      <c r="R9" s="3" t="s">
        <v>39</v>
      </c>
      <c r="S9" s="7">
        <v>39.667220999999998</v>
      </c>
      <c r="T9" s="7">
        <v>-119.876113</v>
      </c>
      <c r="W9" s="3" t="s">
        <v>51</v>
      </c>
      <c r="X9" s="2">
        <v>1</v>
      </c>
      <c r="Y9" s="3" t="s">
        <v>52</v>
      </c>
      <c r="Z9" s="3" t="s">
        <v>86</v>
      </c>
      <c r="AA9" s="3" t="s">
        <v>43</v>
      </c>
      <c r="AB9" s="3" t="s">
        <v>87</v>
      </c>
      <c r="AC9" s="3" t="s">
        <v>88</v>
      </c>
      <c r="AD9" s="3" t="s">
        <v>35</v>
      </c>
      <c r="AE9" s="4" t="b">
        <v>1</v>
      </c>
      <c r="AF9" s="3" t="s">
        <v>46</v>
      </c>
      <c r="AG9" s="3" t="s">
        <v>35</v>
      </c>
      <c r="AH9" s="3" t="s">
        <v>47</v>
      </c>
    </row>
    <row r="10" spans="1:34" ht="15" customHeight="1" x14ac:dyDescent="0.3">
      <c r="A10" s="2">
        <v>73569</v>
      </c>
      <c r="B10" s="3" t="s">
        <v>89</v>
      </c>
      <c r="C10" s="8" t="str">
        <f>HYPERLINK("http://safti.ntsb.int/safti-main/Aviation/case/73569/","SAFTI")</f>
        <v>SAFTI</v>
      </c>
      <c r="D10" s="8" t="str">
        <f>HYPERLINK("http://mydms.ntsb.int/otcs/cs.exe?func=ntsbdms.viewdocketsummary&amp;mkey=73569","myDMS")</f>
        <v>myDMS</v>
      </c>
      <c r="E10" s="8" t="str">
        <f>HYPERLINK("https://data.ntsb.gov/Docket?ProjectID=73569","PublicDocket")</f>
        <v>PublicDocket</v>
      </c>
      <c r="F10" s="8" t="str">
        <f>HYPERLINK("http://data.ntsb.gov/carol-repgen/api/Aviation/ReportMain/GenerateNewestReport/73569/pdf","Report")</f>
        <v>Report</v>
      </c>
      <c r="G10" s="2">
        <v>8</v>
      </c>
      <c r="H10" s="3" t="s">
        <v>34</v>
      </c>
      <c r="I10" s="4" t="b">
        <v>1</v>
      </c>
      <c r="J10" s="4" t="b">
        <v>0</v>
      </c>
      <c r="K10" s="3" t="s">
        <v>90</v>
      </c>
      <c r="L10" s="3" t="s">
        <v>91</v>
      </c>
      <c r="M10" s="3" t="s">
        <v>36</v>
      </c>
      <c r="N10" s="5">
        <v>2009</v>
      </c>
      <c r="O10" s="6">
        <v>39900</v>
      </c>
      <c r="P10" s="3" t="s">
        <v>92</v>
      </c>
      <c r="Q10" s="3" t="s">
        <v>93</v>
      </c>
      <c r="R10" s="3" t="s">
        <v>39</v>
      </c>
      <c r="S10" s="7">
        <v>37.513888999999999</v>
      </c>
      <c r="T10" s="7">
        <v>-122.24305699999999</v>
      </c>
      <c r="V10" s="7">
        <v>4</v>
      </c>
      <c r="W10" s="3" t="s">
        <v>69</v>
      </c>
      <c r="X10" s="2">
        <v>1</v>
      </c>
      <c r="Y10" s="3" t="s">
        <v>52</v>
      </c>
      <c r="Z10" s="3" t="s">
        <v>94</v>
      </c>
      <c r="AA10" s="3" t="s">
        <v>43</v>
      </c>
      <c r="AB10" s="3" t="s">
        <v>95</v>
      </c>
      <c r="AC10" s="3" t="s">
        <v>96</v>
      </c>
      <c r="AD10" s="3" t="s">
        <v>35</v>
      </c>
      <c r="AE10" s="4" t="b">
        <v>0</v>
      </c>
      <c r="AF10" s="3" t="s">
        <v>46</v>
      </c>
      <c r="AG10" s="3" t="s">
        <v>35</v>
      </c>
      <c r="AH10" s="3" t="s">
        <v>47</v>
      </c>
    </row>
    <row r="11" spans="1:34" ht="15" customHeight="1" x14ac:dyDescent="0.3">
      <c r="A11" s="2">
        <v>79082</v>
      </c>
      <c r="B11" s="3" t="s">
        <v>97</v>
      </c>
      <c r="C11" s="8" t="str">
        <f>HYPERLINK("http://safti.ntsb.int/safti-main/Aviation/case/79082/","SAFTI")</f>
        <v>SAFTI</v>
      </c>
      <c r="D11" s="8" t="str">
        <f>HYPERLINK("http://mydms.ntsb.int/otcs/cs.exe?func=ntsbdms.viewdocketsummary&amp;mkey=79082","myDMS")</f>
        <v>myDMS</v>
      </c>
      <c r="E11" s="8" t="str">
        <f>HYPERLINK("https://data.ntsb.gov/Docket?ProjectID=79082","PublicDocket")</f>
        <v>PublicDocket</v>
      </c>
      <c r="F11" s="8" t="str">
        <f>HYPERLINK("http://data.ntsb.gov/carol-repgen/api/Aviation/ReportMain/GenerateNewestReport/79082/pdf","Report")</f>
        <v>Report</v>
      </c>
      <c r="G11" s="2">
        <v>8</v>
      </c>
      <c r="H11" s="3" t="s">
        <v>34</v>
      </c>
      <c r="I11" s="4" t="b">
        <v>1</v>
      </c>
      <c r="J11" s="4" t="b">
        <v>0</v>
      </c>
      <c r="K11" s="3" t="s">
        <v>98</v>
      </c>
      <c r="L11" s="3" t="s">
        <v>99</v>
      </c>
      <c r="M11" s="3" t="s">
        <v>36</v>
      </c>
      <c r="N11" s="5">
        <v>2011</v>
      </c>
      <c r="O11" s="6">
        <v>40674</v>
      </c>
      <c r="P11" s="3" t="s">
        <v>100</v>
      </c>
      <c r="Q11" s="3" t="s">
        <v>101</v>
      </c>
      <c r="R11" s="3" t="s">
        <v>39</v>
      </c>
      <c r="S11" s="7">
        <v>40.603332000000002</v>
      </c>
      <c r="T11" s="7">
        <v>-79.82611</v>
      </c>
      <c r="V11" s="7">
        <v>2</v>
      </c>
      <c r="W11" s="3" t="s">
        <v>69</v>
      </c>
      <c r="X11" s="2">
        <v>1</v>
      </c>
      <c r="Y11" s="3" t="s">
        <v>52</v>
      </c>
      <c r="Z11" s="3" t="s">
        <v>102</v>
      </c>
      <c r="AA11" s="3" t="s">
        <v>43</v>
      </c>
      <c r="AB11" s="3" t="s">
        <v>103</v>
      </c>
      <c r="AC11" s="3" t="s">
        <v>104</v>
      </c>
      <c r="AD11" s="3" t="s">
        <v>35</v>
      </c>
      <c r="AE11" s="4" t="b">
        <v>0</v>
      </c>
      <c r="AF11" s="3" t="s">
        <v>46</v>
      </c>
      <c r="AG11" s="3" t="s">
        <v>35</v>
      </c>
      <c r="AH11" s="3" t="s">
        <v>47</v>
      </c>
    </row>
    <row r="12" spans="1:34" ht="15" customHeight="1" x14ac:dyDescent="0.3">
      <c r="A12" s="2">
        <v>85172</v>
      </c>
      <c r="B12" s="3" t="s">
        <v>105</v>
      </c>
      <c r="C12" s="8" t="str">
        <f>HYPERLINK("http://safti.ntsb.int/safti-main/Aviation/case/85172/","SAFTI")</f>
        <v>SAFTI</v>
      </c>
      <c r="D12" s="8" t="str">
        <f>HYPERLINK("http://mydms.ntsb.int/otcs/cs.exe?func=ntsbdms.viewdocketsummary&amp;mkey=85172","myDMS")</f>
        <v>myDMS</v>
      </c>
      <c r="E12" s="8" t="str">
        <f>HYPERLINK("https://data.ntsb.gov/Docket?ProjectID=85172","PublicDocket")</f>
        <v>PublicDocket</v>
      </c>
      <c r="F12" s="8" t="str">
        <f>HYPERLINK("http://data.ntsb.gov/carol-repgen/api/Aviation/ReportMain/GenerateNewestReport/85172/pdf","Report")</f>
        <v>Report</v>
      </c>
      <c r="G12" s="2">
        <v>8</v>
      </c>
      <c r="H12" s="3" t="s">
        <v>34</v>
      </c>
      <c r="I12" s="4" t="b">
        <v>1</v>
      </c>
      <c r="J12" s="4" t="b">
        <v>0</v>
      </c>
      <c r="K12" s="3" t="s">
        <v>106</v>
      </c>
      <c r="L12" s="3" t="s">
        <v>107</v>
      </c>
      <c r="M12" s="3" t="s">
        <v>36</v>
      </c>
      <c r="N12" s="5">
        <v>2012</v>
      </c>
      <c r="O12" s="6">
        <v>41181</v>
      </c>
      <c r="P12" s="3" t="s">
        <v>108</v>
      </c>
      <c r="Q12" s="3" t="s">
        <v>109</v>
      </c>
      <c r="R12" s="3" t="s">
        <v>39</v>
      </c>
      <c r="S12" s="7">
        <v>39.361109999999996</v>
      </c>
      <c r="T12" s="7">
        <v>-110.916946</v>
      </c>
      <c r="W12" s="3" t="s">
        <v>51</v>
      </c>
      <c r="X12" s="2">
        <v>1</v>
      </c>
      <c r="Y12" s="3" t="s">
        <v>52</v>
      </c>
      <c r="Z12" s="3" t="s">
        <v>110</v>
      </c>
      <c r="AA12" s="3" t="s">
        <v>43</v>
      </c>
      <c r="AB12" s="3" t="s">
        <v>111</v>
      </c>
      <c r="AC12" s="3" t="s">
        <v>112</v>
      </c>
      <c r="AD12" s="3" t="s">
        <v>35</v>
      </c>
      <c r="AE12" s="4" t="b">
        <v>0</v>
      </c>
      <c r="AF12" s="3" t="s">
        <v>46</v>
      </c>
      <c r="AG12" s="3" t="s">
        <v>35</v>
      </c>
      <c r="AH12" s="3" t="s">
        <v>47</v>
      </c>
    </row>
    <row r="13" spans="1:34" ht="15" customHeight="1" x14ac:dyDescent="0.3">
      <c r="A13" s="2">
        <v>91983</v>
      </c>
      <c r="B13" s="3" t="s">
        <v>113</v>
      </c>
      <c r="C13" s="8" t="str">
        <f>HYPERLINK("http://safti.ntsb.int/safti-main/Aviation/case/91983/","SAFTI")</f>
        <v>SAFTI</v>
      </c>
      <c r="D13" s="8" t="str">
        <f>HYPERLINK("http://mydms.ntsb.int/otcs/cs.exe?func=ntsbdms.viewdocketsummary&amp;mkey=91983","myDMS")</f>
        <v>myDMS</v>
      </c>
      <c r="E13" s="8" t="str">
        <f>HYPERLINK("https://data.ntsb.gov/Docket?ProjectID=91983","PublicDocket")</f>
        <v>PublicDocket</v>
      </c>
      <c r="F13" s="8" t="str">
        <f>HYPERLINK("http://data.ntsb.gov/carol-repgen/api/Aviation/ReportMain/GenerateNewestReport/91983/pdf","Report")</f>
        <v>Report</v>
      </c>
      <c r="G13" s="2">
        <v>8</v>
      </c>
      <c r="H13" s="3" t="s">
        <v>34</v>
      </c>
      <c r="I13" s="4" t="b">
        <v>1</v>
      </c>
      <c r="J13" s="4" t="b">
        <v>0</v>
      </c>
      <c r="K13" s="3" t="s">
        <v>114</v>
      </c>
      <c r="L13" s="3" t="s">
        <v>115</v>
      </c>
      <c r="M13" s="3" t="s">
        <v>36</v>
      </c>
      <c r="N13" s="5">
        <v>2015</v>
      </c>
      <c r="O13" s="6">
        <v>42252</v>
      </c>
      <c r="P13" s="3" t="s">
        <v>116</v>
      </c>
      <c r="Q13" s="3" t="s">
        <v>117</v>
      </c>
      <c r="R13" s="3" t="s">
        <v>39</v>
      </c>
      <c r="S13" s="7">
        <v>46.768611</v>
      </c>
      <c r="T13" s="7">
        <v>-91.38861</v>
      </c>
      <c r="W13" s="3" t="s">
        <v>118</v>
      </c>
      <c r="X13" s="2">
        <v>1</v>
      </c>
      <c r="Y13" s="3" t="s">
        <v>52</v>
      </c>
      <c r="Z13" s="3" t="s">
        <v>119</v>
      </c>
      <c r="AA13" s="3" t="s">
        <v>43</v>
      </c>
      <c r="AB13" s="3" t="s">
        <v>120</v>
      </c>
      <c r="AC13" s="3" t="s">
        <v>121</v>
      </c>
      <c r="AD13" s="3" t="s">
        <v>35</v>
      </c>
      <c r="AE13" s="4" t="b">
        <v>1</v>
      </c>
      <c r="AF13" s="3" t="s">
        <v>46</v>
      </c>
      <c r="AG13" s="3" t="s">
        <v>35</v>
      </c>
      <c r="AH13" s="3" t="s">
        <v>47</v>
      </c>
    </row>
    <row r="14" spans="1:34" ht="15" customHeight="1" x14ac:dyDescent="0.3">
      <c r="A14" s="2">
        <v>98552</v>
      </c>
      <c r="B14" s="3" t="s">
        <v>122</v>
      </c>
      <c r="C14" s="8" t="str">
        <f>HYPERLINK("http://safti.ntsb.int/safti-main/Aviation/case/98552/","SAFTI")</f>
        <v>SAFTI</v>
      </c>
      <c r="D14" s="8" t="str">
        <f>HYPERLINK("http://mydms.ntsb.int/otcs/cs.exe?func=ntsbdms.viewdocketsummary&amp;mkey=98552","myDMS")</f>
        <v>myDMS</v>
      </c>
      <c r="E14" s="8" t="str">
        <f>HYPERLINK("https://data.ntsb.gov/Docket?ProjectID=98552","PublicDocket")</f>
        <v>PublicDocket</v>
      </c>
      <c r="F14" s="8" t="str">
        <f>HYPERLINK("http://data.ntsb.gov/carol-repgen/api/Aviation/ReportMain/GenerateNewestReport/98552/pdf","Report")</f>
        <v>Report</v>
      </c>
      <c r="G14" s="2">
        <v>8</v>
      </c>
      <c r="H14" s="3" t="s">
        <v>34</v>
      </c>
      <c r="I14" s="4" t="b">
        <v>1</v>
      </c>
      <c r="J14" s="4" t="b">
        <v>0</v>
      </c>
      <c r="K14" s="3" t="s">
        <v>114</v>
      </c>
      <c r="L14" s="3" t="s">
        <v>115</v>
      </c>
      <c r="M14" s="3" t="s">
        <v>36</v>
      </c>
      <c r="N14" s="5">
        <v>2018</v>
      </c>
      <c r="O14" s="6">
        <v>43400</v>
      </c>
      <c r="P14" s="3" t="s">
        <v>123</v>
      </c>
      <c r="Q14" s="3" t="s">
        <v>124</v>
      </c>
      <c r="R14" s="3" t="s">
        <v>39</v>
      </c>
      <c r="S14" s="7">
        <v>29.823609999999999</v>
      </c>
      <c r="T14" s="7">
        <v>-95.675551999999996</v>
      </c>
      <c r="W14" s="3" t="s">
        <v>51</v>
      </c>
      <c r="X14" s="2">
        <v>1</v>
      </c>
      <c r="Y14" s="3" t="s">
        <v>52</v>
      </c>
      <c r="Z14" s="3" t="s">
        <v>125</v>
      </c>
      <c r="AA14" s="3" t="s">
        <v>43</v>
      </c>
      <c r="AB14" s="3" t="s">
        <v>111</v>
      </c>
      <c r="AC14" s="3" t="s">
        <v>126</v>
      </c>
      <c r="AD14" s="3" t="s">
        <v>127</v>
      </c>
      <c r="AE14" s="4" t="b">
        <v>0</v>
      </c>
      <c r="AF14" s="3" t="s">
        <v>46</v>
      </c>
      <c r="AG14" s="3" t="s">
        <v>35</v>
      </c>
      <c r="AH14" s="3" t="s">
        <v>47</v>
      </c>
    </row>
    <row r="15" spans="1:34" ht="15" customHeight="1" x14ac:dyDescent="0.3">
      <c r="A15" s="2">
        <v>102974</v>
      </c>
      <c r="B15" s="3" t="s">
        <v>128</v>
      </c>
      <c r="C15" s="8" t="str">
        <f>HYPERLINK("http://safti.ntsb.int/safti-main/Aviation/case/102974/","SAFTI")</f>
        <v>SAFTI</v>
      </c>
      <c r="D15" s="8" t="str">
        <f>HYPERLINK("http://mydms.ntsb.int/otcs/cs.exe?func=ntsbdms.viewdocketsummary&amp;mkey=102974","myDMS")</f>
        <v>myDMS</v>
      </c>
      <c r="E15" s="8" t="str">
        <f>HYPERLINK("https://data.ntsb.gov/Docket?ProjectID=102974","PublicDocket")</f>
        <v>PublicDocket</v>
      </c>
      <c r="F15" s="8" t="str">
        <f>HYPERLINK("http://data.ntsb.gov/carol-repgen/api/Aviation/ReportMain/GenerateNewestReport/102974/pdf","Report")</f>
        <v>Report</v>
      </c>
      <c r="G15" s="2">
        <v>1</v>
      </c>
      <c r="H15" s="3" t="s">
        <v>129</v>
      </c>
      <c r="I15" s="4" t="b">
        <v>0</v>
      </c>
      <c r="J15" s="4" t="b">
        <v>0</v>
      </c>
      <c r="K15" s="3" t="s">
        <v>130</v>
      </c>
      <c r="L15" s="3" t="s">
        <v>131</v>
      </c>
      <c r="M15" s="3" t="s">
        <v>36</v>
      </c>
      <c r="N15" s="5">
        <v>2021</v>
      </c>
      <c r="O15" s="6">
        <v>44310</v>
      </c>
      <c r="P15" s="3" t="s">
        <v>132</v>
      </c>
      <c r="Q15" s="3" t="s">
        <v>124</v>
      </c>
      <c r="R15" s="3" t="s">
        <v>39</v>
      </c>
      <c r="S15" s="7">
        <v>27.811833</v>
      </c>
      <c r="T15" s="7">
        <v>-97.088750000000005</v>
      </c>
      <c r="U15" s="7">
        <v>1</v>
      </c>
      <c r="V15" s="7">
        <v>2</v>
      </c>
      <c r="W15" s="3" t="s">
        <v>40</v>
      </c>
      <c r="X15" s="2">
        <v>1</v>
      </c>
      <c r="Y15" s="3" t="s">
        <v>52</v>
      </c>
      <c r="Z15" s="3" t="s">
        <v>133</v>
      </c>
      <c r="AA15" s="3" t="s">
        <v>43</v>
      </c>
      <c r="AB15" s="3" t="s">
        <v>134</v>
      </c>
      <c r="AC15" s="3" t="s">
        <v>135</v>
      </c>
      <c r="AD15" s="3" t="s">
        <v>35</v>
      </c>
      <c r="AE15" s="4" t="b">
        <v>0</v>
      </c>
      <c r="AF15" s="3" t="s">
        <v>46</v>
      </c>
      <c r="AG15" s="3" t="s">
        <v>136</v>
      </c>
      <c r="AH15" s="3" t="s">
        <v>35</v>
      </c>
    </row>
    <row r="16" spans="1:34" ht="15" customHeight="1" x14ac:dyDescent="0.3">
      <c r="A16" s="2">
        <v>103030</v>
      </c>
      <c r="B16" s="3" t="s">
        <v>137</v>
      </c>
      <c r="C16" s="8" t="str">
        <f>HYPERLINK("http://safti.ntsb.int/safti-main/Aviation/case/103030/","SAFTI")</f>
        <v>SAFTI</v>
      </c>
      <c r="D16" s="8" t="str">
        <f>HYPERLINK("http://mydms.ntsb.int/otcs/cs.exe?func=ntsbdms.viewdocketsummary&amp;mkey=103030","myDMS")</f>
        <v>myDMS</v>
      </c>
      <c r="E16" s="8" t="str">
        <f>HYPERLINK("https://data.ntsb.gov/Docket?ProjectID=103030","PublicDocket")</f>
        <v>PublicDocket</v>
      </c>
      <c r="F16" s="8" t="str">
        <f>HYPERLINK("http://data.ntsb.gov/carol-repgen/api/Aviation/ReportMain/GenerateNewestReport/103030/pdf","Report")</f>
        <v>Report</v>
      </c>
      <c r="G16" s="2">
        <v>1</v>
      </c>
      <c r="H16" s="3" t="s">
        <v>129</v>
      </c>
      <c r="I16" s="4" t="b">
        <v>0</v>
      </c>
      <c r="J16" s="4" t="b">
        <v>0</v>
      </c>
      <c r="K16" s="3" t="s">
        <v>138</v>
      </c>
      <c r="L16" s="3" t="s">
        <v>139</v>
      </c>
      <c r="M16" s="3" t="s">
        <v>36</v>
      </c>
      <c r="N16" s="5">
        <v>2021</v>
      </c>
      <c r="O16" s="6">
        <v>44317</v>
      </c>
      <c r="P16" s="3" t="s">
        <v>140</v>
      </c>
      <c r="Q16" s="3" t="s">
        <v>141</v>
      </c>
      <c r="R16" s="3" t="s">
        <v>39</v>
      </c>
      <c r="W16" s="3" t="s">
        <v>35</v>
      </c>
      <c r="X16" s="2">
        <v>1</v>
      </c>
      <c r="Y16" s="3" t="s">
        <v>52</v>
      </c>
      <c r="Z16" s="3" t="s">
        <v>142</v>
      </c>
      <c r="AA16" s="3" t="s">
        <v>43</v>
      </c>
      <c r="AB16" s="3" t="s">
        <v>103</v>
      </c>
      <c r="AC16" s="3" t="s">
        <v>143</v>
      </c>
      <c r="AD16" s="3" t="s">
        <v>35</v>
      </c>
      <c r="AE16" s="4" t="b">
        <v>0</v>
      </c>
      <c r="AF16" s="3" t="s">
        <v>35</v>
      </c>
      <c r="AG16" s="3" t="s">
        <v>35</v>
      </c>
      <c r="AH16" s="3" t="s">
        <v>35</v>
      </c>
    </row>
    <row r="17" spans="1:34" s="14" customFormat="1" ht="15" customHeight="1" x14ac:dyDescent="0.3"/>
    <row r="18" spans="1:34" ht="15" customHeight="1" x14ac:dyDescent="0.3">
      <c r="A18" s="10">
        <v>74842</v>
      </c>
      <c r="B18" s="11" t="s">
        <v>145</v>
      </c>
      <c r="C18" s="12" t="s">
        <v>201</v>
      </c>
      <c r="D18" s="12" t="str">
        <f>HYPERLINK("http://mydms.ntsb.int/otcs/cs.exe?func=ntsbdms.viewdocketsummary&amp;mkey=74842","myDMS")</f>
        <v>myDMS</v>
      </c>
      <c r="E18" s="12" t="str">
        <f>HYPERLINK("https://data.ntsb.gov/Docket?ProjectID=74842","PublicDocket")</f>
        <v>PublicDocket</v>
      </c>
      <c r="F18" s="12" t="str">
        <f>HYPERLINK("http://data.ntsb.gov/carol-repgen/api/Aviation/ReportMain/GenerateNewestReport/74842/pdf","Report")</f>
        <v>Report</v>
      </c>
      <c r="G18" s="10">
        <v>8</v>
      </c>
      <c r="H18" s="11" t="s">
        <v>34</v>
      </c>
      <c r="I18" s="10" t="b">
        <v>1</v>
      </c>
      <c r="J18" s="10" t="b">
        <v>0</v>
      </c>
      <c r="K18" s="11" t="s">
        <v>146</v>
      </c>
      <c r="L18" s="11" t="s">
        <v>147</v>
      </c>
      <c r="M18" s="11" t="s">
        <v>36</v>
      </c>
      <c r="N18" s="10">
        <v>2009</v>
      </c>
      <c r="O18" s="13">
        <v>40089</v>
      </c>
      <c r="P18" s="11" t="s">
        <v>148</v>
      </c>
      <c r="Q18" s="11" t="s">
        <v>149</v>
      </c>
      <c r="R18" s="11" t="s">
        <v>39</v>
      </c>
      <c r="S18" s="10">
        <v>44.940277000000002</v>
      </c>
      <c r="T18" s="10">
        <v>-73.097221000000005</v>
      </c>
      <c r="U18" s="9"/>
      <c r="V18" s="9"/>
      <c r="W18" s="11" t="s">
        <v>51</v>
      </c>
      <c r="X18" s="10">
        <v>1</v>
      </c>
      <c r="Y18" s="11" t="s">
        <v>52</v>
      </c>
      <c r="Z18" s="11" t="s">
        <v>150</v>
      </c>
      <c r="AA18" s="11" t="s">
        <v>43</v>
      </c>
      <c r="AB18" s="11" t="s">
        <v>95</v>
      </c>
      <c r="AC18" s="11" t="s">
        <v>151</v>
      </c>
      <c r="AD18" s="11" t="s">
        <v>35</v>
      </c>
      <c r="AE18" s="10" t="b">
        <v>0</v>
      </c>
      <c r="AF18" s="11" t="s">
        <v>46</v>
      </c>
      <c r="AG18" s="11"/>
      <c r="AH18" s="11" t="s">
        <v>47</v>
      </c>
    </row>
    <row r="19" spans="1:34" ht="15" customHeight="1" x14ac:dyDescent="0.3">
      <c r="A19" s="10">
        <v>81618</v>
      </c>
      <c r="B19" s="11" t="s">
        <v>152</v>
      </c>
      <c r="C19" s="12" t="str">
        <f>HYPERLINK("http://safti.ntsb.int/safti-main/Aviation/case/81618/","SAFTI")</f>
        <v>SAFTI</v>
      </c>
      <c r="D19" s="12" t="str">
        <f>HYPERLINK("http://mydms.ntsb.int/otcs/cs.exe?func=ntsbdms.viewdocketsummary&amp;mkey=81618","myDMS")</f>
        <v>myDMS</v>
      </c>
      <c r="E19" s="12" t="str">
        <f>HYPERLINK("https://data.ntsb.gov/Docket?ProjectID=81618","PublicDocket")</f>
        <v>PublicDocket</v>
      </c>
      <c r="F19" s="12" t="str">
        <f>HYPERLINK("http://data.ntsb.gov/carol-repgen/api/Aviation/ReportMain/GenerateNewestReport/81618/pdf","Report")</f>
        <v>Report</v>
      </c>
      <c r="G19" s="10">
        <v>8</v>
      </c>
      <c r="H19" s="11" t="s">
        <v>34</v>
      </c>
      <c r="I19" s="10" t="b">
        <v>1</v>
      </c>
      <c r="J19" s="10" t="b">
        <v>0</v>
      </c>
      <c r="K19" s="11" t="s">
        <v>153</v>
      </c>
      <c r="L19" s="11" t="s">
        <v>154</v>
      </c>
      <c r="M19" s="11" t="s">
        <v>36</v>
      </c>
      <c r="N19" s="10">
        <v>2011</v>
      </c>
      <c r="O19" s="13">
        <v>40783</v>
      </c>
      <c r="P19" s="11" t="s">
        <v>155</v>
      </c>
      <c r="Q19" s="11" t="s">
        <v>156</v>
      </c>
      <c r="R19" s="11" t="s">
        <v>39</v>
      </c>
      <c r="S19" s="10">
        <v>44.656944000000003</v>
      </c>
      <c r="T19" s="10">
        <v>-123.05278</v>
      </c>
      <c r="U19" s="9"/>
      <c r="V19" s="9"/>
      <c r="W19" s="11" t="s">
        <v>51</v>
      </c>
      <c r="X19" s="10">
        <v>1</v>
      </c>
      <c r="Y19" s="11" t="s">
        <v>52</v>
      </c>
      <c r="Z19" s="11" t="s">
        <v>157</v>
      </c>
      <c r="AA19" s="11" t="s">
        <v>43</v>
      </c>
      <c r="AB19" s="11" t="s">
        <v>158</v>
      </c>
      <c r="AC19" s="11" t="s">
        <v>159</v>
      </c>
      <c r="AD19" s="11" t="s">
        <v>35</v>
      </c>
      <c r="AE19" s="10" t="b">
        <v>1</v>
      </c>
      <c r="AF19" s="11" t="s">
        <v>46</v>
      </c>
      <c r="AG19" s="11"/>
      <c r="AH19" s="11" t="s">
        <v>47</v>
      </c>
    </row>
    <row r="20" spans="1:34" ht="15" customHeight="1" x14ac:dyDescent="0.3">
      <c r="A20" s="10">
        <v>90164</v>
      </c>
      <c r="B20" s="11" t="s">
        <v>160</v>
      </c>
      <c r="C20" s="12" t="str">
        <f>HYPERLINK("http://safti.ntsb.int/safti-main/Aviation/case/90164/","SAFTI")</f>
        <v>SAFTI</v>
      </c>
      <c r="D20" s="12" t="str">
        <f>HYPERLINK("http://mydms.ntsb.int/otcs/cs.exe?func=ntsbdms.viewdocketsummary&amp;mkey=90164","myDMS")</f>
        <v>myDMS</v>
      </c>
      <c r="E20" s="12" t="str">
        <f>HYPERLINK("https://data.ntsb.gov/Docket?ProjectID=90164","PublicDocket")</f>
        <v>PublicDocket</v>
      </c>
      <c r="F20" s="12" t="str">
        <f>HYPERLINK("http://data.ntsb.gov/carol-repgen/api/Aviation/ReportMain/GenerateNewestReport/90164/pdf","Report")</f>
        <v>Report</v>
      </c>
      <c r="G20" s="10">
        <v>8</v>
      </c>
      <c r="H20" s="11" t="s">
        <v>34</v>
      </c>
      <c r="I20" s="10" t="b">
        <v>1</v>
      </c>
      <c r="J20" s="10" t="b">
        <v>0</v>
      </c>
      <c r="K20" s="11" t="s">
        <v>98</v>
      </c>
      <c r="L20" s="11" t="s">
        <v>99</v>
      </c>
      <c r="M20" s="11" t="s">
        <v>36</v>
      </c>
      <c r="N20" s="10">
        <v>2014</v>
      </c>
      <c r="O20" s="13">
        <v>41909</v>
      </c>
      <c r="P20" s="11" t="s">
        <v>161</v>
      </c>
      <c r="Q20" s="11" t="s">
        <v>162</v>
      </c>
      <c r="R20" s="11" t="s">
        <v>39</v>
      </c>
      <c r="S20" s="10">
        <v>42.898333999999998</v>
      </c>
      <c r="T20" s="10">
        <v>-78.580557999999996</v>
      </c>
      <c r="U20" s="10">
        <v>2</v>
      </c>
      <c r="V20" s="9"/>
      <c r="W20" s="11" t="s">
        <v>40</v>
      </c>
      <c r="X20" s="10">
        <v>1</v>
      </c>
      <c r="Y20" s="11" t="s">
        <v>41</v>
      </c>
      <c r="Z20" s="11" t="s">
        <v>163</v>
      </c>
      <c r="AA20" s="11" t="s">
        <v>43</v>
      </c>
      <c r="AB20" s="11" t="s">
        <v>111</v>
      </c>
      <c r="AC20" s="11" t="s">
        <v>164</v>
      </c>
      <c r="AD20" s="11" t="s">
        <v>35</v>
      </c>
      <c r="AE20" s="10" t="b">
        <v>0</v>
      </c>
      <c r="AF20" s="11" t="s">
        <v>46</v>
      </c>
      <c r="AG20" s="11"/>
      <c r="AH20" s="11" t="s">
        <v>47</v>
      </c>
    </row>
    <row r="21" spans="1:34" ht="15" customHeight="1" x14ac:dyDescent="0.3">
      <c r="A21" s="10">
        <v>95332</v>
      </c>
      <c r="B21" s="11" t="s">
        <v>165</v>
      </c>
      <c r="C21" s="12" t="str">
        <f>HYPERLINK("http://safti.ntsb.int/safti-main/Aviation/case/95332/","SAFTI")</f>
        <v>SAFTI</v>
      </c>
      <c r="D21" s="12" t="str">
        <f>HYPERLINK("http://mydms.ntsb.int/otcs/cs.exe?func=ntsbdms.viewdocketsummary&amp;mkey=95332","myDMS")</f>
        <v>myDMS</v>
      </c>
      <c r="E21" s="12" t="str">
        <f>HYPERLINK("https://data.ntsb.gov/Docket?ProjectID=95332","PublicDocket")</f>
        <v>PublicDocket</v>
      </c>
      <c r="F21" s="12" t="str">
        <f>HYPERLINK("http://data.ntsb.gov/carol-repgen/api/Aviation/ReportMain/GenerateNewestReport/95332/pdf","Report")</f>
        <v>Report</v>
      </c>
      <c r="G21" s="10">
        <v>8</v>
      </c>
      <c r="H21" s="11" t="s">
        <v>34</v>
      </c>
      <c r="I21" s="10" t="b">
        <v>1</v>
      </c>
      <c r="J21" s="10" t="b">
        <v>0</v>
      </c>
      <c r="K21" s="11" t="s">
        <v>166</v>
      </c>
      <c r="L21" s="11" t="s">
        <v>167</v>
      </c>
      <c r="M21" s="11" t="s">
        <v>36</v>
      </c>
      <c r="N21" s="10">
        <v>2017</v>
      </c>
      <c r="O21" s="13">
        <v>42881</v>
      </c>
      <c r="P21" s="11" t="s">
        <v>168</v>
      </c>
      <c r="Q21" s="11" t="s">
        <v>80</v>
      </c>
      <c r="R21" s="11" t="s">
        <v>39</v>
      </c>
      <c r="S21" s="10">
        <v>42.467776999999998</v>
      </c>
      <c r="T21" s="10">
        <v>-85.648055999999997</v>
      </c>
      <c r="U21" s="9"/>
      <c r="V21" s="9"/>
      <c r="W21" s="11" t="s">
        <v>118</v>
      </c>
      <c r="X21" s="10">
        <v>1</v>
      </c>
      <c r="Y21" s="11" t="s">
        <v>52</v>
      </c>
      <c r="Z21" s="11" t="s">
        <v>169</v>
      </c>
      <c r="AA21" s="11" t="s">
        <v>43</v>
      </c>
      <c r="AB21" s="11" t="s">
        <v>111</v>
      </c>
      <c r="AC21" s="11" t="s">
        <v>170</v>
      </c>
      <c r="AD21" s="11" t="s">
        <v>171</v>
      </c>
      <c r="AE21" s="10" t="b">
        <v>0</v>
      </c>
      <c r="AF21" s="11" t="s">
        <v>46</v>
      </c>
      <c r="AG21" s="11"/>
      <c r="AH21" s="11" t="s">
        <v>47</v>
      </c>
    </row>
    <row r="22" spans="1:34" ht="15" customHeight="1" x14ac:dyDescent="0.3">
      <c r="A22" s="10">
        <v>95526</v>
      </c>
      <c r="B22" s="11" t="s">
        <v>172</v>
      </c>
      <c r="C22" s="12" t="str">
        <f>HYPERLINK("http://safti.ntsb.int/safti-main/Aviation/case/95526/","SAFTI")</f>
        <v>SAFTI</v>
      </c>
      <c r="D22" s="12" t="str">
        <f>HYPERLINK("http://mydms.ntsb.int/otcs/cs.exe?func=ntsbdms.viewdocketsummary&amp;mkey=95526","myDMS")</f>
        <v>myDMS</v>
      </c>
      <c r="E22" s="12" t="str">
        <f>HYPERLINK("https://data.ntsb.gov/Docket?ProjectID=95526","PublicDocket")</f>
        <v>PublicDocket</v>
      </c>
      <c r="F22" s="12" t="str">
        <f>HYPERLINK("http://data.ntsb.gov/carol-repgen/api/Aviation/ReportMain/GenerateNewestReport/95526/pdf","Report")</f>
        <v>Report</v>
      </c>
      <c r="G22" s="10">
        <v>8</v>
      </c>
      <c r="H22" s="11" t="s">
        <v>34</v>
      </c>
      <c r="I22" s="10" t="b">
        <v>1</v>
      </c>
      <c r="J22" s="10" t="b">
        <v>0</v>
      </c>
      <c r="K22" s="11" t="s">
        <v>173</v>
      </c>
      <c r="L22" s="11" t="s">
        <v>174</v>
      </c>
      <c r="M22" s="11" t="s">
        <v>36</v>
      </c>
      <c r="N22" s="10">
        <v>2017</v>
      </c>
      <c r="O22" s="13">
        <v>42924</v>
      </c>
      <c r="P22" s="11" t="s">
        <v>175</v>
      </c>
      <c r="Q22" s="11" t="s">
        <v>93</v>
      </c>
      <c r="R22" s="11" t="s">
        <v>39</v>
      </c>
      <c r="S22" s="10">
        <v>37.333331999999999</v>
      </c>
      <c r="T22" s="10">
        <v>-121.819168</v>
      </c>
      <c r="U22" s="9"/>
      <c r="V22" s="9"/>
      <c r="W22" s="11" t="s">
        <v>51</v>
      </c>
      <c r="X22" s="10">
        <v>1</v>
      </c>
      <c r="Y22" s="11" t="s">
        <v>176</v>
      </c>
      <c r="Z22" s="11" t="s">
        <v>177</v>
      </c>
      <c r="AA22" s="11" t="s">
        <v>43</v>
      </c>
      <c r="AB22" s="11" t="s">
        <v>111</v>
      </c>
      <c r="AC22" s="11" t="s">
        <v>178</v>
      </c>
      <c r="AD22" s="11" t="s">
        <v>179</v>
      </c>
      <c r="AE22" s="10" t="b">
        <v>0</v>
      </c>
      <c r="AF22" s="11" t="s">
        <v>46</v>
      </c>
      <c r="AG22" s="11"/>
      <c r="AH22" s="11" t="s">
        <v>47</v>
      </c>
    </row>
    <row r="23" spans="1:34" ht="15" customHeight="1" x14ac:dyDescent="0.3">
      <c r="A23" s="10">
        <v>95815</v>
      </c>
      <c r="B23" s="11" t="s">
        <v>180</v>
      </c>
      <c r="C23" s="12" t="str">
        <f>HYPERLINK("http://safti.ntsb.int/safti-main/Aviation/case/95815/","SAFTI")</f>
        <v>SAFTI</v>
      </c>
      <c r="D23" s="12" t="str">
        <f>HYPERLINK("http://mydms.ntsb.int/otcs/cs.exe?func=ntsbdms.viewdocketsummary&amp;mkey=95815","myDMS")</f>
        <v>myDMS</v>
      </c>
      <c r="E23" s="12" t="str">
        <f>HYPERLINK("https://data.ntsb.gov/Docket?ProjectID=95815","PublicDocket")</f>
        <v>PublicDocket</v>
      </c>
      <c r="F23" s="12" t="str">
        <f>HYPERLINK("http://data.ntsb.gov/carol-repgen/api/Aviation/ReportMain/GenerateNewestReport/95815/pdf","Report")</f>
        <v>Report</v>
      </c>
      <c r="G23" s="10">
        <v>8</v>
      </c>
      <c r="H23" s="11" t="s">
        <v>34</v>
      </c>
      <c r="I23" s="10" t="b">
        <v>1</v>
      </c>
      <c r="J23" s="10" t="b">
        <v>0</v>
      </c>
      <c r="K23" s="11" t="s">
        <v>181</v>
      </c>
      <c r="L23" s="11" t="s">
        <v>182</v>
      </c>
      <c r="M23" s="11" t="s">
        <v>36</v>
      </c>
      <c r="N23" s="10">
        <v>2017</v>
      </c>
      <c r="O23" s="13">
        <v>42959</v>
      </c>
      <c r="P23" s="11" t="s">
        <v>183</v>
      </c>
      <c r="Q23" s="11" t="s">
        <v>80</v>
      </c>
      <c r="R23" s="11" t="s">
        <v>39</v>
      </c>
      <c r="S23" s="10">
        <v>43.128334000000002</v>
      </c>
      <c r="T23" s="10">
        <v>-85.676665999999997</v>
      </c>
      <c r="U23" s="9"/>
      <c r="V23" s="9"/>
      <c r="W23" s="11" t="s">
        <v>51</v>
      </c>
      <c r="X23" s="10">
        <v>1</v>
      </c>
      <c r="Y23" s="11" t="s">
        <v>52</v>
      </c>
      <c r="Z23" s="11" t="s">
        <v>184</v>
      </c>
      <c r="AA23" s="11" t="s">
        <v>43</v>
      </c>
      <c r="AB23" s="11" t="s">
        <v>111</v>
      </c>
      <c r="AC23" s="11" t="s">
        <v>185</v>
      </c>
      <c r="AD23" s="11" t="s">
        <v>186</v>
      </c>
      <c r="AE23" s="10" t="b">
        <v>0</v>
      </c>
      <c r="AF23" s="11" t="s">
        <v>46</v>
      </c>
      <c r="AG23" s="11"/>
      <c r="AH23" s="11" t="s">
        <v>47</v>
      </c>
    </row>
    <row r="24" spans="1:34" ht="15" customHeight="1" x14ac:dyDescent="0.3">
      <c r="A24" s="10">
        <v>96749</v>
      </c>
      <c r="B24" s="11" t="s">
        <v>187</v>
      </c>
      <c r="C24" s="12" t="str">
        <f>HYPERLINK("http://safti.ntsb.int/safti-main/Aviation/case/96749/","SAFTI")</f>
        <v>SAFTI</v>
      </c>
      <c r="D24" s="12" t="str">
        <f>HYPERLINK("http://mydms.ntsb.int/otcs/cs.exe?func=ntsbdms.viewdocketsummary&amp;mkey=96749","myDMS")</f>
        <v>myDMS</v>
      </c>
      <c r="E24" s="12" t="str">
        <f>HYPERLINK("https://data.ntsb.gov/Docket?ProjectID=96749","PublicDocket")</f>
        <v>PublicDocket</v>
      </c>
      <c r="F24" s="12" t="str">
        <f>HYPERLINK("http://data.ntsb.gov/carol-repgen/api/Aviation/ReportMain/GenerateNewestReport/96749/pdf","Report")</f>
        <v>Report</v>
      </c>
      <c r="G24" s="10">
        <v>8</v>
      </c>
      <c r="H24" s="11" t="s">
        <v>34</v>
      </c>
      <c r="I24" s="10" t="b">
        <v>1</v>
      </c>
      <c r="J24" s="10" t="b">
        <v>0</v>
      </c>
      <c r="K24" s="11" t="s">
        <v>181</v>
      </c>
      <c r="L24" s="11" t="s">
        <v>182</v>
      </c>
      <c r="M24" s="11" t="s">
        <v>36</v>
      </c>
      <c r="N24" s="10">
        <v>2018</v>
      </c>
      <c r="O24" s="13">
        <v>43141</v>
      </c>
      <c r="P24" s="11" t="s">
        <v>188</v>
      </c>
      <c r="Q24" s="11" t="s">
        <v>85</v>
      </c>
      <c r="R24" s="11" t="s">
        <v>39</v>
      </c>
      <c r="S24" s="10">
        <v>39.191111999999997</v>
      </c>
      <c r="T24" s="10">
        <v>-119.72583</v>
      </c>
      <c r="U24" s="9"/>
      <c r="V24" s="9"/>
      <c r="W24" s="11" t="s">
        <v>51</v>
      </c>
      <c r="X24" s="10">
        <v>1</v>
      </c>
      <c r="Y24" s="11" t="s">
        <v>52</v>
      </c>
      <c r="Z24" s="11" t="s">
        <v>189</v>
      </c>
      <c r="AA24" s="11" t="s">
        <v>43</v>
      </c>
      <c r="AB24" s="11" t="s">
        <v>190</v>
      </c>
      <c r="AC24" s="11" t="s">
        <v>191</v>
      </c>
      <c r="AD24" s="11" t="s">
        <v>192</v>
      </c>
      <c r="AE24" s="10" t="b">
        <v>0</v>
      </c>
      <c r="AF24" s="11" t="s">
        <v>46</v>
      </c>
      <c r="AG24" s="11"/>
      <c r="AH24" s="11" t="s">
        <v>47</v>
      </c>
    </row>
    <row r="25" spans="1:34" ht="15" customHeight="1" x14ac:dyDescent="0.3">
      <c r="A25" s="10">
        <v>100443</v>
      </c>
      <c r="B25" s="11" t="s">
        <v>193</v>
      </c>
      <c r="C25" s="12" t="str">
        <f>HYPERLINK("http://safti.ntsb.int/safti-main/Aviation/case/100443/","SAFTI")</f>
        <v>SAFTI</v>
      </c>
      <c r="D25" s="12" t="str">
        <f>HYPERLINK("http://mydms.ntsb.int/otcs/cs.exe?func=ntsbdms.viewdocketsummary&amp;mkey=100443","myDMS")</f>
        <v>myDMS</v>
      </c>
      <c r="E25" s="12" t="str">
        <f>HYPERLINK("https://data.ntsb.gov/Docket?ProjectID=100443","PublicDocket")</f>
        <v>PublicDocket</v>
      </c>
      <c r="F25" s="12" t="str">
        <f>HYPERLINK("http://data.ntsb.gov/carol-repgen/api/Aviation/ReportMain/GenerateNewestReport/100443/pdf","Report")</f>
        <v>Report</v>
      </c>
      <c r="G25" s="10">
        <v>8</v>
      </c>
      <c r="H25" s="11" t="s">
        <v>34</v>
      </c>
      <c r="I25" s="10" t="b">
        <v>1</v>
      </c>
      <c r="J25" s="10" t="b">
        <v>0</v>
      </c>
      <c r="K25" s="11" t="s">
        <v>194</v>
      </c>
      <c r="L25" s="11" t="s">
        <v>195</v>
      </c>
      <c r="M25" s="11" t="s">
        <v>36</v>
      </c>
      <c r="N25" s="10">
        <v>2019</v>
      </c>
      <c r="O25" s="13">
        <v>43750</v>
      </c>
      <c r="P25" s="11" t="s">
        <v>196</v>
      </c>
      <c r="Q25" s="11" t="s">
        <v>58</v>
      </c>
      <c r="R25" s="11" t="s">
        <v>39</v>
      </c>
      <c r="S25" s="10">
        <v>38.361109999999996</v>
      </c>
      <c r="T25" s="10">
        <v>-76.405281000000002</v>
      </c>
      <c r="U25" s="9"/>
      <c r="V25" s="9"/>
      <c r="W25" s="11" t="s">
        <v>118</v>
      </c>
      <c r="X25" s="10">
        <v>1</v>
      </c>
      <c r="Y25" s="11" t="s">
        <v>52</v>
      </c>
      <c r="Z25" s="11" t="s">
        <v>197</v>
      </c>
      <c r="AA25" s="11" t="s">
        <v>43</v>
      </c>
      <c r="AB25" s="11" t="s">
        <v>198</v>
      </c>
      <c r="AC25" s="11" t="s">
        <v>199</v>
      </c>
      <c r="AD25" s="11" t="s">
        <v>200</v>
      </c>
      <c r="AE25" s="10" t="b">
        <v>1</v>
      </c>
      <c r="AF25" s="11" t="s">
        <v>46</v>
      </c>
      <c r="AG25" s="11"/>
      <c r="AH25" s="11" t="s">
        <v>47</v>
      </c>
    </row>
  </sheetData>
  <autoFilter ref="A1:AH16" xr:uid="{ED91B73E-2186-4B40-AA06-428C998F240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Query1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Emery Eric</dc:creator>
  <cp:lastModifiedBy>Lawrence David</cp:lastModifiedBy>
  <dcterms:created xsi:type="dcterms:W3CDTF">2021-05-24T16:39:12Z</dcterms:created>
  <dcterms:modified xsi:type="dcterms:W3CDTF">2021-05-29T15:12:39Z</dcterms:modified>
</cp:coreProperties>
</file>