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Accident Investigation\Accident Investigation Access Only\A-AVP-100 Briefings\Daily Accident-Incident Data Folder\2021\Sept\Sept 29\ADS-B N690LS\"/>
    </mc:Choice>
  </mc:AlternateContent>
  <bookViews>
    <workbookView xWindow="0" yWindow="0" windowWidth="23040" windowHeight="8616"/>
  </bookViews>
  <sheets>
    <sheet name="20210928_A92BC1_466220674_ADSB" sheetId="1" r:id="rId1"/>
  </sheets>
  <calcPr calcId="0"/>
</workbook>
</file>

<file path=xl/calcChain.xml><?xml version="1.0" encoding="utf-8"?>
<calcChain xmlns="http://schemas.openxmlformats.org/spreadsheetml/2006/main">
  <c r="A2" i="1" l="1"/>
  <c r="C2" i="1"/>
  <c r="S2" i="1"/>
  <c r="T2" i="1"/>
  <c r="U2" i="1"/>
  <c r="BB2" i="1"/>
  <c r="BW2" i="1"/>
  <c r="A3" i="1"/>
  <c r="C3" i="1"/>
  <c r="S3" i="1"/>
  <c r="T3" i="1"/>
  <c r="U3" i="1"/>
  <c r="BB3" i="1"/>
  <c r="BW3" i="1"/>
  <c r="A4" i="1"/>
  <c r="C4" i="1"/>
  <c r="S4" i="1"/>
  <c r="T4" i="1"/>
  <c r="U4" i="1"/>
  <c r="BB4" i="1"/>
  <c r="BW4" i="1"/>
  <c r="A5" i="1"/>
  <c r="C5" i="1"/>
  <c r="S5" i="1"/>
  <c r="T5" i="1"/>
  <c r="U5" i="1"/>
  <c r="BB5" i="1"/>
  <c r="BW5" i="1"/>
  <c r="A6" i="1"/>
  <c r="C6" i="1"/>
  <c r="S6" i="1"/>
  <c r="T6" i="1"/>
  <c r="U6" i="1"/>
  <c r="BB6" i="1"/>
  <c r="BW6" i="1"/>
  <c r="A7" i="1"/>
  <c r="C7" i="1"/>
  <c r="S7" i="1"/>
  <c r="T7" i="1"/>
  <c r="U7" i="1"/>
  <c r="BB7" i="1"/>
  <c r="BW7" i="1"/>
  <c r="A8" i="1"/>
  <c r="C8" i="1"/>
  <c r="S8" i="1"/>
  <c r="T8" i="1"/>
  <c r="U8" i="1"/>
  <c r="BB8" i="1"/>
  <c r="BW8" i="1"/>
  <c r="A9" i="1"/>
  <c r="C9" i="1"/>
  <c r="S9" i="1"/>
  <c r="T9" i="1"/>
  <c r="U9" i="1"/>
  <c r="BB9" i="1"/>
  <c r="BW9" i="1"/>
  <c r="A10" i="1"/>
  <c r="C10" i="1"/>
  <c r="S10" i="1"/>
  <c r="T10" i="1"/>
  <c r="U10" i="1"/>
  <c r="BB10" i="1"/>
  <c r="BW10" i="1"/>
  <c r="A11" i="1"/>
  <c r="C11" i="1"/>
  <c r="S11" i="1"/>
  <c r="T11" i="1"/>
  <c r="U11" i="1"/>
  <c r="BW11" i="1"/>
  <c r="A12" i="1"/>
  <c r="C12" i="1"/>
  <c r="S12" i="1"/>
  <c r="T12" i="1"/>
  <c r="U12" i="1"/>
  <c r="BW12" i="1"/>
  <c r="A13" i="1"/>
  <c r="C13" i="1"/>
  <c r="S13" i="1"/>
  <c r="T13" i="1"/>
  <c r="U13" i="1"/>
  <c r="BW13" i="1"/>
  <c r="A14" i="1"/>
  <c r="C14" i="1"/>
  <c r="S14" i="1"/>
  <c r="T14" i="1"/>
  <c r="U14" i="1"/>
  <c r="BW14" i="1"/>
  <c r="A15" i="1"/>
  <c r="C15" i="1"/>
  <c r="S15" i="1"/>
  <c r="T15" i="1"/>
  <c r="U15" i="1"/>
  <c r="BB15" i="1"/>
  <c r="BW15" i="1"/>
  <c r="A16" i="1"/>
  <c r="C16" i="1"/>
  <c r="S16" i="1"/>
  <c r="T16" i="1"/>
  <c r="U16" i="1"/>
  <c r="BB16" i="1"/>
  <c r="BW16" i="1"/>
  <c r="A17" i="1"/>
  <c r="C17" i="1"/>
  <c r="S17" i="1"/>
  <c r="T17" i="1"/>
  <c r="U17" i="1"/>
  <c r="BB17" i="1"/>
  <c r="BW17" i="1"/>
  <c r="A18" i="1"/>
  <c r="C18" i="1"/>
  <c r="S18" i="1"/>
  <c r="T18" i="1"/>
  <c r="U18" i="1"/>
  <c r="BB18" i="1"/>
  <c r="BW18" i="1"/>
  <c r="A19" i="1"/>
  <c r="C19" i="1"/>
  <c r="S19" i="1"/>
  <c r="T19" i="1"/>
  <c r="U19" i="1"/>
  <c r="BB19" i="1"/>
  <c r="BW19" i="1"/>
  <c r="A20" i="1"/>
  <c r="C20" i="1"/>
  <c r="S20" i="1"/>
  <c r="T20" i="1"/>
  <c r="U20" i="1"/>
  <c r="BB20" i="1"/>
  <c r="BW20" i="1"/>
  <c r="A21" i="1"/>
  <c r="C21" i="1"/>
  <c r="S21" i="1"/>
  <c r="T21" i="1"/>
  <c r="U21" i="1"/>
  <c r="BB21" i="1"/>
  <c r="BW21" i="1"/>
  <c r="A22" i="1"/>
  <c r="C22" i="1"/>
  <c r="S22" i="1"/>
  <c r="T22" i="1"/>
  <c r="U22" i="1"/>
  <c r="BB22" i="1"/>
  <c r="BW22" i="1"/>
  <c r="A23" i="1"/>
  <c r="C23" i="1"/>
  <c r="S23" i="1"/>
  <c r="T23" i="1"/>
  <c r="U23" i="1"/>
  <c r="BB23" i="1"/>
  <c r="BW23" i="1"/>
  <c r="A24" i="1"/>
  <c r="C24" i="1"/>
  <c r="S24" i="1"/>
  <c r="T24" i="1"/>
  <c r="U24" i="1"/>
  <c r="BB24" i="1"/>
  <c r="BW24" i="1"/>
  <c r="A25" i="1"/>
  <c r="C25" i="1"/>
  <c r="S25" i="1"/>
  <c r="T25" i="1"/>
  <c r="U25" i="1"/>
  <c r="BB25" i="1"/>
  <c r="BW25" i="1"/>
  <c r="A26" i="1"/>
  <c r="C26" i="1"/>
  <c r="S26" i="1"/>
  <c r="T26" i="1"/>
  <c r="U26" i="1"/>
  <c r="BB26" i="1"/>
  <c r="BW26" i="1"/>
  <c r="A27" i="1"/>
  <c r="C27" i="1"/>
  <c r="S27" i="1"/>
  <c r="T27" i="1"/>
  <c r="U27" i="1"/>
  <c r="BB27" i="1"/>
  <c r="BW27" i="1"/>
  <c r="A28" i="1"/>
  <c r="C28" i="1"/>
  <c r="S28" i="1"/>
  <c r="T28" i="1"/>
  <c r="U28" i="1"/>
  <c r="BB28" i="1"/>
  <c r="BW28" i="1"/>
  <c r="A29" i="1"/>
  <c r="C29" i="1"/>
  <c r="S29" i="1"/>
  <c r="T29" i="1"/>
  <c r="U29" i="1"/>
  <c r="BB29" i="1"/>
  <c r="BW29" i="1"/>
  <c r="A30" i="1"/>
  <c r="C30" i="1"/>
  <c r="S30" i="1"/>
  <c r="T30" i="1"/>
  <c r="U30" i="1"/>
  <c r="BB30" i="1"/>
  <c r="BW30" i="1"/>
  <c r="A31" i="1"/>
  <c r="C31" i="1"/>
  <c r="S31" i="1"/>
  <c r="T31" i="1"/>
  <c r="U31" i="1"/>
  <c r="BB31" i="1"/>
  <c r="BW31" i="1"/>
  <c r="A32" i="1"/>
  <c r="C32" i="1"/>
  <c r="S32" i="1"/>
  <c r="T32" i="1"/>
  <c r="U32" i="1"/>
  <c r="BB32" i="1"/>
  <c r="BW32" i="1"/>
  <c r="A33" i="1"/>
  <c r="C33" i="1"/>
  <c r="S33" i="1"/>
  <c r="T33" i="1"/>
  <c r="U33" i="1"/>
  <c r="BB33" i="1"/>
  <c r="BW33" i="1"/>
  <c r="A34" i="1"/>
  <c r="C34" i="1"/>
  <c r="S34" i="1"/>
  <c r="T34" i="1"/>
  <c r="U34" i="1"/>
  <c r="BB34" i="1"/>
  <c r="BW34" i="1"/>
  <c r="A35" i="1"/>
  <c r="C35" i="1"/>
  <c r="S35" i="1"/>
  <c r="T35" i="1"/>
  <c r="U35" i="1"/>
  <c r="BB35" i="1"/>
  <c r="BW35" i="1"/>
  <c r="A36" i="1"/>
  <c r="C36" i="1"/>
  <c r="S36" i="1"/>
  <c r="T36" i="1"/>
  <c r="U36" i="1"/>
  <c r="BB36" i="1"/>
  <c r="BW36" i="1"/>
  <c r="A37" i="1"/>
  <c r="C37" i="1"/>
  <c r="S37" i="1"/>
  <c r="T37" i="1"/>
  <c r="U37" i="1"/>
  <c r="BW37" i="1"/>
  <c r="A38" i="1"/>
  <c r="C38" i="1"/>
  <c r="S38" i="1"/>
  <c r="T38" i="1"/>
  <c r="U38" i="1"/>
  <c r="BW38" i="1"/>
  <c r="A39" i="1"/>
  <c r="C39" i="1"/>
  <c r="S39" i="1"/>
  <c r="T39" i="1"/>
  <c r="U39" i="1"/>
  <c r="BB39" i="1"/>
  <c r="BW39" i="1"/>
  <c r="A40" i="1"/>
  <c r="C40" i="1"/>
  <c r="S40" i="1"/>
  <c r="T40" i="1"/>
  <c r="U40" i="1"/>
  <c r="BB40" i="1"/>
  <c r="BW40" i="1"/>
  <c r="A41" i="1"/>
  <c r="C41" i="1"/>
  <c r="S41" i="1"/>
  <c r="T41" i="1"/>
  <c r="U41" i="1"/>
  <c r="BB41" i="1"/>
  <c r="BW41" i="1"/>
  <c r="A42" i="1"/>
  <c r="C42" i="1"/>
  <c r="S42" i="1"/>
  <c r="T42" i="1"/>
  <c r="U42" i="1"/>
  <c r="BB42" i="1"/>
  <c r="BW42" i="1"/>
  <c r="A43" i="1"/>
  <c r="C43" i="1"/>
  <c r="S43" i="1"/>
  <c r="T43" i="1"/>
  <c r="U43" i="1"/>
  <c r="BB43" i="1"/>
  <c r="BW43" i="1"/>
  <c r="A44" i="1"/>
  <c r="C44" i="1"/>
  <c r="S44" i="1"/>
  <c r="T44" i="1"/>
  <c r="U44" i="1"/>
  <c r="BB44" i="1"/>
  <c r="BW44" i="1"/>
  <c r="A45" i="1"/>
  <c r="C45" i="1"/>
  <c r="S45" i="1"/>
  <c r="T45" i="1"/>
  <c r="U45" i="1"/>
  <c r="BB45" i="1"/>
  <c r="BW45" i="1"/>
  <c r="A46" i="1"/>
  <c r="C46" i="1"/>
  <c r="S46" i="1"/>
  <c r="T46" i="1"/>
  <c r="U46" i="1"/>
  <c r="BB46" i="1"/>
  <c r="BW46" i="1"/>
  <c r="A47" i="1"/>
  <c r="C47" i="1"/>
  <c r="S47" i="1"/>
  <c r="T47" i="1"/>
  <c r="U47" i="1"/>
  <c r="BB47" i="1"/>
  <c r="BW47" i="1"/>
  <c r="A48" i="1"/>
  <c r="C48" i="1"/>
  <c r="S48" i="1"/>
  <c r="T48" i="1"/>
  <c r="U48" i="1"/>
  <c r="BB48" i="1"/>
  <c r="BW48" i="1"/>
  <c r="A49" i="1"/>
  <c r="C49" i="1"/>
  <c r="S49" i="1"/>
  <c r="T49" i="1"/>
  <c r="U49" i="1"/>
  <c r="BB49" i="1"/>
  <c r="BW49" i="1"/>
  <c r="A50" i="1"/>
  <c r="C50" i="1"/>
  <c r="S50" i="1"/>
  <c r="T50" i="1"/>
  <c r="U50" i="1"/>
  <c r="BB50" i="1"/>
  <c r="BW50" i="1"/>
  <c r="A51" i="1"/>
  <c r="C51" i="1"/>
  <c r="S51" i="1"/>
  <c r="T51" i="1"/>
  <c r="U51" i="1"/>
  <c r="BB51" i="1"/>
  <c r="BW51" i="1"/>
  <c r="A52" i="1"/>
  <c r="C52" i="1"/>
  <c r="S52" i="1"/>
  <c r="T52" i="1"/>
  <c r="U52" i="1"/>
  <c r="BB52" i="1"/>
  <c r="BW52" i="1"/>
  <c r="A53" i="1"/>
  <c r="C53" i="1"/>
  <c r="S53" i="1"/>
  <c r="T53" i="1"/>
  <c r="U53" i="1"/>
  <c r="BB53" i="1"/>
  <c r="BW53" i="1"/>
  <c r="A54" i="1"/>
  <c r="C54" i="1"/>
  <c r="S54" i="1"/>
  <c r="T54" i="1"/>
  <c r="U54" i="1"/>
  <c r="BB54" i="1"/>
  <c r="BW54" i="1"/>
  <c r="A55" i="1"/>
  <c r="C55" i="1"/>
  <c r="S55" i="1"/>
  <c r="T55" i="1"/>
  <c r="U55" i="1"/>
  <c r="BB55" i="1"/>
  <c r="BW55" i="1"/>
  <c r="A56" i="1"/>
  <c r="C56" i="1"/>
  <c r="S56" i="1"/>
  <c r="T56" i="1"/>
  <c r="U56" i="1"/>
  <c r="BB56" i="1"/>
  <c r="BW56" i="1"/>
  <c r="A57" i="1"/>
  <c r="C57" i="1"/>
  <c r="S57" i="1"/>
  <c r="T57" i="1"/>
  <c r="U57" i="1"/>
  <c r="BB57" i="1"/>
  <c r="BW57" i="1"/>
  <c r="A58" i="1"/>
  <c r="C58" i="1"/>
  <c r="S58" i="1"/>
  <c r="T58" i="1"/>
  <c r="U58" i="1"/>
  <c r="BB58" i="1"/>
  <c r="BW58" i="1"/>
  <c r="A59" i="1"/>
  <c r="C59" i="1"/>
  <c r="S59" i="1"/>
  <c r="T59" i="1"/>
  <c r="U59" i="1"/>
  <c r="BB59" i="1"/>
  <c r="BW59" i="1"/>
  <c r="A60" i="1"/>
  <c r="C60" i="1"/>
  <c r="S60" i="1"/>
  <c r="T60" i="1"/>
  <c r="U60" i="1"/>
  <c r="BB60" i="1"/>
  <c r="BW60" i="1"/>
  <c r="A61" i="1"/>
  <c r="C61" i="1"/>
  <c r="S61" i="1"/>
  <c r="T61" i="1"/>
  <c r="U61" i="1"/>
  <c r="BB61" i="1"/>
  <c r="BW61" i="1"/>
  <c r="A62" i="1"/>
  <c r="C62" i="1"/>
  <c r="S62" i="1"/>
  <c r="T62" i="1"/>
  <c r="U62" i="1"/>
  <c r="BB62" i="1"/>
  <c r="BW62" i="1"/>
  <c r="A63" i="1"/>
  <c r="C63" i="1"/>
  <c r="S63" i="1"/>
  <c r="T63" i="1"/>
  <c r="U63" i="1"/>
  <c r="BB63" i="1"/>
  <c r="BW63" i="1"/>
  <c r="A64" i="1"/>
  <c r="C64" i="1"/>
  <c r="S64" i="1"/>
  <c r="T64" i="1"/>
  <c r="U64" i="1"/>
  <c r="BB64" i="1"/>
  <c r="BW64" i="1"/>
  <c r="A65" i="1"/>
  <c r="C65" i="1"/>
  <c r="S65" i="1"/>
  <c r="T65" i="1"/>
  <c r="U65" i="1"/>
  <c r="BB65" i="1"/>
  <c r="BW65" i="1"/>
  <c r="A66" i="1"/>
  <c r="C66" i="1"/>
  <c r="S66" i="1"/>
  <c r="T66" i="1"/>
  <c r="U66" i="1"/>
  <c r="BB66" i="1"/>
  <c r="BW66" i="1"/>
  <c r="A67" i="1"/>
  <c r="C67" i="1"/>
  <c r="S67" i="1"/>
  <c r="T67" i="1"/>
  <c r="U67" i="1"/>
  <c r="BB67" i="1"/>
  <c r="BW67" i="1"/>
  <c r="A68" i="1"/>
  <c r="C68" i="1"/>
  <c r="S68" i="1"/>
  <c r="T68" i="1"/>
  <c r="U68" i="1"/>
  <c r="BB68" i="1"/>
  <c r="BW68" i="1"/>
  <c r="A69" i="1"/>
  <c r="C69" i="1"/>
  <c r="S69" i="1"/>
  <c r="T69" i="1"/>
  <c r="U69" i="1"/>
  <c r="BB69" i="1"/>
  <c r="BW69" i="1"/>
  <c r="A70" i="1"/>
  <c r="C70" i="1"/>
  <c r="S70" i="1"/>
  <c r="T70" i="1"/>
  <c r="U70" i="1"/>
  <c r="BB70" i="1"/>
  <c r="BW70" i="1"/>
  <c r="A71" i="1"/>
  <c r="C71" i="1"/>
  <c r="S71" i="1"/>
  <c r="T71" i="1"/>
  <c r="U71" i="1"/>
  <c r="BB71" i="1"/>
  <c r="BW71" i="1"/>
  <c r="A72" i="1"/>
  <c r="C72" i="1"/>
  <c r="S72" i="1"/>
  <c r="T72" i="1"/>
  <c r="U72" i="1"/>
  <c r="BB72" i="1"/>
  <c r="BW72" i="1"/>
  <c r="A73" i="1"/>
  <c r="C73" i="1"/>
  <c r="S73" i="1"/>
  <c r="T73" i="1"/>
  <c r="U73" i="1"/>
  <c r="BB73" i="1"/>
  <c r="BW73" i="1"/>
  <c r="A74" i="1"/>
  <c r="C74" i="1"/>
  <c r="S74" i="1"/>
  <c r="T74" i="1"/>
  <c r="U74" i="1"/>
  <c r="BB74" i="1"/>
  <c r="BW74" i="1"/>
  <c r="A75" i="1"/>
  <c r="C75" i="1"/>
  <c r="S75" i="1"/>
  <c r="T75" i="1"/>
  <c r="U75" i="1"/>
  <c r="BB75" i="1"/>
  <c r="BW75" i="1"/>
  <c r="A76" i="1"/>
  <c r="C76" i="1"/>
  <c r="S76" i="1"/>
  <c r="T76" i="1"/>
  <c r="U76" i="1"/>
  <c r="BB76" i="1"/>
  <c r="BW76" i="1"/>
  <c r="A77" i="1"/>
  <c r="C77" i="1"/>
  <c r="S77" i="1"/>
  <c r="T77" i="1"/>
  <c r="U77" i="1"/>
  <c r="BB77" i="1"/>
  <c r="BW77" i="1"/>
  <c r="A78" i="1"/>
  <c r="C78" i="1"/>
  <c r="S78" i="1"/>
  <c r="T78" i="1"/>
  <c r="U78" i="1"/>
  <c r="BB78" i="1"/>
  <c r="BW78" i="1"/>
  <c r="A79" i="1"/>
  <c r="C79" i="1"/>
  <c r="S79" i="1"/>
  <c r="T79" i="1"/>
  <c r="U79" i="1"/>
  <c r="BB79" i="1"/>
  <c r="BW79" i="1"/>
  <c r="A80" i="1"/>
  <c r="C80" i="1"/>
  <c r="S80" i="1"/>
  <c r="T80" i="1"/>
  <c r="U80" i="1"/>
  <c r="BB80" i="1"/>
  <c r="BW80" i="1"/>
  <c r="A81" i="1"/>
  <c r="C81" i="1"/>
  <c r="S81" i="1"/>
  <c r="T81" i="1"/>
  <c r="U81" i="1"/>
  <c r="BB81" i="1"/>
  <c r="BW81" i="1"/>
  <c r="A82" i="1"/>
  <c r="C82" i="1"/>
  <c r="S82" i="1"/>
  <c r="T82" i="1"/>
  <c r="U82" i="1"/>
  <c r="BB82" i="1"/>
  <c r="BW82" i="1"/>
  <c r="A83" i="1"/>
  <c r="C83" i="1"/>
  <c r="S83" i="1"/>
  <c r="T83" i="1"/>
  <c r="U83" i="1"/>
  <c r="BB83" i="1"/>
  <c r="BW83" i="1"/>
  <c r="A84" i="1"/>
  <c r="C84" i="1"/>
  <c r="S84" i="1"/>
  <c r="T84" i="1"/>
  <c r="U84" i="1"/>
  <c r="BB84" i="1"/>
  <c r="BW84" i="1"/>
  <c r="A85" i="1"/>
  <c r="C85" i="1"/>
  <c r="S85" i="1"/>
  <c r="T85" i="1"/>
  <c r="U85" i="1"/>
  <c r="BB85" i="1"/>
  <c r="BW85" i="1"/>
  <c r="A86" i="1"/>
  <c r="C86" i="1"/>
  <c r="S86" i="1"/>
  <c r="T86" i="1"/>
  <c r="U86" i="1"/>
  <c r="BB86" i="1"/>
  <c r="BW86" i="1"/>
  <c r="A87" i="1"/>
  <c r="C87" i="1"/>
  <c r="S87" i="1"/>
  <c r="T87" i="1"/>
  <c r="U87" i="1"/>
  <c r="BB87" i="1"/>
  <c r="BW87" i="1"/>
  <c r="A88" i="1"/>
  <c r="C88" i="1"/>
  <c r="S88" i="1"/>
  <c r="T88" i="1"/>
  <c r="U88" i="1"/>
  <c r="BB88" i="1"/>
  <c r="BW88" i="1"/>
  <c r="A89" i="1"/>
  <c r="C89" i="1"/>
  <c r="S89" i="1"/>
  <c r="T89" i="1"/>
  <c r="U89" i="1"/>
  <c r="BB89" i="1"/>
  <c r="BW89" i="1"/>
  <c r="A90" i="1"/>
  <c r="C90" i="1"/>
  <c r="S90" i="1"/>
  <c r="T90" i="1"/>
  <c r="U90" i="1"/>
  <c r="BB90" i="1"/>
  <c r="BW90" i="1"/>
  <c r="A91" i="1"/>
  <c r="C91" i="1"/>
  <c r="S91" i="1"/>
  <c r="T91" i="1"/>
  <c r="U91" i="1"/>
  <c r="BB91" i="1"/>
  <c r="BW91" i="1"/>
  <c r="A92" i="1"/>
  <c r="C92" i="1"/>
  <c r="S92" i="1"/>
  <c r="T92" i="1"/>
  <c r="U92" i="1"/>
  <c r="BB92" i="1"/>
  <c r="BW92" i="1"/>
  <c r="A93" i="1"/>
  <c r="C93" i="1"/>
  <c r="S93" i="1"/>
  <c r="T93" i="1"/>
  <c r="U93" i="1"/>
  <c r="BB93" i="1"/>
  <c r="BW93" i="1"/>
  <c r="A94" i="1"/>
  <c r="C94" i="1"/>
  <c r="S94" i="1"/>
  <c r="T94" i="1"/>
  <c r="U94" i="1"/>
  <c r="BB94" i="1"/>
  <c r="BW94" i="1"/>
  <c r="A95" i="1"/>
  <c r="C95" i="1"/>
  <c r="S95" i="1"/>
  <c r="T95" i="1"/>
  <c r="U95" i="1"/>
  <c r="BB95" i="1"/>
  <c r="BW95" i="1"/>
  <c r="A96" i="1"/>
  <c r="C96" i="1"/>
  <c r="S96" i="1"/>
  <c r="T96" i="1"/>
  <c r="U96" i="1"/>
  <c r="BB96" i="1"/>
  <c r="BW96" i="1"/>
  <c r="A97" i="1"/>
  <c r="C97" i="1"/>
  <c r="S97" i="1"/>
  <c r="T97" i="1"/>
  <c r="U97" i="1"/>
  <c r="BB97" i="1"/>
  <c r="BW97" i="1"/>
  <c r="A98" i="1"/>
  <c r="C98" i="1"/>
  <c r="S98" i="1"/>
  <c r="T98" i="1"/>
  <c r="U98" i="1"/>
  <c r="BB98" i="1"/>
  <c r="BW98" i="1"/>
  <c r="A99" i="1"/>
  <c r="C99" i="1"/>
  <c r="S99" i="1"/>
  <c r="T99" i="1"/>
  <c r="U99" i="1"/>
  <c r="BB99" i="1"/>
  <c r="BW99" i="1"/>
  <c r="A100" i="1"/>
  <c r="C100" i="1"/>
  <c r="S100" i="1"/>
  <c r="T100" i="1"/>
  <c r="U100" i="1"/>
  <c r="BB100" i="1"/>
  <c r="BW100" i="1"/>
  <c r="A101" i="1"/>
  <c r="C101" i="1"/>
  <c r="S101" i="1"/>
  <c r="T101" i="1"/>
  <c r="U101" i="1"/>
  <c r="BB101" i="1"/>
  <c r="BW101" i="1"/>
  <c r="A102" i="1"/>
  <c r="C102" i="1"/>
  <c r="S102" i="1"/>
  <c r="T102" i="1"/>
  <c r="U102" i="1"/>
  <c r="BB102" i="1"/>
  <c r="BW102" i="1"/>
  <c r="A103" i="1"/>
  <c r="C103" i="1"/>
  <c r="S103" i="1"/>
  <c r="T103" i="1"/>
  <c r="U103" i="1"/>
  <c r="BB103" i="1"/>
  <c r="BW103" i="1"/>
  <c r="A104" i="1"/>
  <c r="C104" i="1"/>
  <c r="S104" i="1"/>
  <c r="T104" i="1"/>
  <c r="U104" i="1"/>
  <c r="BB104" i="1"/>
  <c r="BW104" i="1"/>
  <c r="A105" i="1"/>
  <c r="C105" i="1"/>
  <c r="S105" i="1"/>
  <c r="T105" i="1"/>
  <c r="U105" i="1"/>
  <c r="BB105" i="1"/>
  <c r="BW105" i="1"/>
  <c r="A106" i="1"/>
  <c r="C106" i="1"/>
  <c r="S106" i="1"/>
  <c r="T106" i="1"/>
  <c r="U106" i="1"/>
  <c r="BB106" i="1"/>
  <c r="BW106" i="1"/>
  <c r="A107" i="1"/>
  <c r="C107" i="1"/>
  <c r="S107" i="1"/>
  <c r="T107" i="1"/>
  <c r="U107" i="1"/>
  <c r="BB107" i="1"/>
  <c r="BW107" i="1"/>
  <c r="A108" i="1"/>
  <c r="C108" i="1"/>
  <c r="S108" i="1"/>
  <c r="T108" i="1"/>
  <c r="U108" i="1"/>
  <c r="BB108" i="1"/>
  <c r="BW108" i="1"/>
  <c r="A109" i="1"/>
  <c r="C109" i="1"/>
  <c r="S109" i="1"/>
  <c r="T109" i="1"/>
  <c r="U109" i="1"/>
  <c r="BB109" i="1"/>
  <c r="BW109" i="1"/>
  <c r="A110" i="1"/>
  <c r="C110" i="1"/>
  <c r="S110" i="1"/>
  <c r="T110" i="1"/>
  <c r="U110" i="1"/>
  <c r="BB110" i="1"/>
  <c r="BW110" i="1"/>
  <c r="A111" i="1"/>
  <c r="C111" i="1"/>
  <c r="S111" i="1"/>
  <c r="T111" i="1"/>
  <c r="U111" i="1"/>
  <c r="BB111" i="1"/>
  <c r="BW111" i="1"/>
  <c r="A112" i="1"/>
  <c r="C112" i="1"/>
  <c r="S112" i="1"/>
  <c r="T112" i="1"/>
  <c r="U112" i="1"/>
  <c r="BB112" i="1"/>
  <c r="BW112" i="1"/>
  <c r="A113" i="1"/>
  <c r="C113" i="1"/>
  <c r="S113" i="1"/>
  <c r="T113" i="1"/>
  <c r="U113" i="1"/>
  <c r="BB113" i="1"/>
  <c r="BW113" i="1"/>
  <c r="A114" i="1"/>
  <c r="C114" i="1"/>
  <c r="S114" i="1"/>
  <c r="T114" i="1"/>
  <c r="U114" i="1"/>
  <c r="BB114" i="1"/>
  <c r="BW114" i="1"/>
  <c r="A115" i="1"/>
  <c r="C115" i="1"/>
  <c r="S115" i="1"/>
  <c r="T115" i="1"/>
  <c r="U115" i="1"/>
  <c r="BB115" i="1"/>
  <c r="BW115" i="1"/>
  <c r="A116" i="1"/>
  <c r="C116" i="1"/>
  <c r="S116" i="1"/>
  <c r="T116" i="1"/>
  <c r="U116" i="1"/>
  <c r="BB116" i="1"/>
  <c r="BW116" i="1"/>
  <c r="A117" i="1"/>
  <c r="C117" i="1"/>
  <c r="S117" i="1"/>
  <c r="T117" i="1"/>
  <c r="U117" i="1"/>
  <c r="BB117" i="1"/>
  <c r="BW117" i="1"/>
  <c r="A118" i="1"/>
  <c r="C118" i="1"/>
  <c r="S118" i="1"/>
  <c r="T118" i="1"/>
  <c r="U118" i="1"/>
  <c r="BB118" i="1"/>
  <c r="BW118" i="1"/>
  <c r="A119" i="1"/>
  <c r="C119" i="1"/>
  <c r="S119" i="1"/>
  <c r="T119" i="1"/>
  <c r="U119" i="1"/>
  <c r="BB119" i="1"/>
  <c r="BW119" i="1"/>
  <c r="A120" i="1"/>
  <c r="C120" i="1"/>
  <c r="S120" i="1"/>
  <c r="T120" i="1"/>
  <c r="U120" i="1"/>
  <c r="BB120" i="1"/>
  <c r="BW120" i="1"/>
  <c r="A121" i="1"/>
  <c r="C121" i="1"/>
  <c r="S121" i="1"/>
  <c r="T121" i="1"/>
  <c r="U121" i="1"/>
  <c r="BB121" i="1"/>
  <c r="BW121" i="1"/>
  <c r="A122" i="1"/>
  <c r="C122" i="1"/>
  <c r="S122" i="1"/>
  <c r="T122" i="1"/>
  <c r="U122" i="1"/>
  <c r="BB122" i="1"/>
  <c r="BW122" i="1"/>
  <c r="A123" i="1"/>
  <c r="C123" i="1"/>
  <c r="S123" i="1"/>
  <c r="T123" i="1"/>
  <c r="U123" i="1"/>
  <c r="BB123" i="1"/>
  <c r="BW123" i="1"/>
  <c r="A124" i="1"/>
  <c r="C124" i="1"/>
  <c r="S124" i="1"/>
  <c r="T124" i="1"/>
  <c r="U124" i="1"/>
  <c r="BB124" i="1"/>
  <c r="BW124" i="1"/>
  <c r="A125" i="1"/>
  <c r="C125" i="1"/>
  <c r="S125" i="1"/>
  <c r="T125" i="1"/>
  <c r="U125" i="1"/>
  <c r="BB125" i="1"/>
  <c r="BW125" i="1"/>
  <c r="A126" i="1"/>
  <c r="C126" i="1"/>
  <c r="S126" i="1"/>
  <c r="T126" i="1"/>
  <c r="U126" i="1"/>
  <c r="BB126" i="1"/>
  <c r="BW126" i="1"/>
  <c r="A127" i="1"/>
  <c r="C127" i="1"/>
  <c r="S127" i="1"/>
  <c r="T127" i="1"/>
  <c r="U127" i="1"/>
  <c r="BB127" i="1"/>
  <c r="BW127" i="1"/>
  <c r="A128" i="1"/>
  <c r="C128" i="1"/>
  <c r="S128" i="1"/>
  <c r="T128" i="1"/>
  <c r="U128" i="1"/>
  <c r="BB128" i="1"/>
  <c r="BW128" i="1"/>
  <c r="A129" i="1"/>
  <c r="C129" i="1"/>
  <c r="S129" i="1"/>
  <c r="T129" i="1"/>
  <c r="U129" i="1"/>
  <c r="BB129" i="1"/>
  <c r="BW129" i="1"/>
  <c r="A130" i="1"/>
  <c r="C130" i="1"/>
  <c r="S130" i="1"/>
  <c r="T130" i="1"/>
  <c r="U130" i="1"/>
  <c r="BB130" i="1"/>
  <c r="BW130" i="1"/>
  <c r="A131" i="1"/>
  <c r="C131" i="1"/>
  <c r="S131" i="1"/>
  <c r="T131" i="1"/>
  <c r="U131" i="1"/>
  <c r="BB131" i="1"/>
  <c r="BW131" i="1"/>
  <c r="A132" i="1"/>
  <c r="C132" i="1"/>
  <c r="S132" i="1"/>
  <c r="T132" i="1"/>
  <c r="U132" i="1"/>
  <c r="BB132" i="1"/>
  <c r="BW132" i="1"/>
  <c r="A133" i="1"/>
  <c r="C133" i="1"/>
  <c r="S133" i="1"/>
  <c r="T133" i="1"/>
  <c r="U133" i="1"/>
  <c r="BB133" i="1"/>
  <c r="BW133" i="1"/>
  <c r="A134" i="1"/>
  <c r="C134" i="1"/>
  <c r="S134" i="1"/>
  <c r="T134" i="1"/>
  <c r="U134" i="1"/>
  <c r="BB134" i="1"/>
  <c r="BW134" i="1"/>
  <c r="A135" i="1"/>
  <c r="C135" i="1"/>
  <c r="S135" i="1"/>
  <c r="T135" i="1"/>
  <c r="U135" i="1"/>
  <c r="BB135" i="1"/>
  <c r="BW135" i="1"/>
  <c r="A136" i="1"/>
  <c r="C136" i="1"/>
  <c r="S136" i="1"/>
  <c r="T136" i="1"/>
  <c r="U136" i="1"/>
  <c r="BB136" i="1"/>
  <c r="BW136" i="1"/>
  <c r="A137" i="1"/>
  <c r="C137" i="1"/>
  <c r="S137" i="1"/>
  <c r="T137" i="1"/>
  <c r="U137" i="1"/>
  <c r="BB137" i="1"/>
  <c r="BW137" i="1"/>
  <c r="A138" i="1"/>
  <c r="C138" i="1"/>
  <c r="S138" i="1"/>
  <c r="T138" i="1"/>
  <c r="U138" i="1"/>
  <c r="BB138" i="1"/>
  <c r="BW138" i="1"/>
  <c r="A139" i="1"/>
  <c r="C139" i="1"/>
  <c r="S139" i="1"/>
  <c r="T139" i="1"/>
  <c r="U139" i="1"/>
  <c r="BB139" i="1"/>
  <c r="BW139" i="1"/>
  <c r="A140" i="1"/>
  <c r="C140" i="1"/>
  <c r="S140" i="1"/>
  <c r="T140" i="1"/>
  <c r="U140" i="1"/>
  <c r="BB140" i="1"/>
  <c r="BW140" i="1"/>
  <c r="A141" i="1"/>
  <c r="C141" i="1"/>
  <c r="S141" i="1"/>
  <c r="T141" i="1"/>
  <c r="U141" i="1"/>
  <c r="BB141" i="1"/>
  <c r="BW141" i="1"/>
  <c r="A142" i="1"/>
  <c r="C142" i="1"/>
  <c r="S142" i="1"/>
  <c r="T142" i="1"/>
  <c r="U142" i="1"/>
  <c r="BB142" i="1"/>
  <c r="BW142" i="1"/>
  <c r="A143" i="1"/>
  <c r="C143" i="1"/>
  <c r="S143" i="1"/>
  <c r="T143" i="1"/>
  <c r="U143" i="1"/>
  <c r="BB143" i="1"/>
  <c r="BW143" i="1"/>
  <c r="A144" i="1"/>
  <c r="C144" i="1"/>
  <c r="S144" i="1"/>
  <c r="T144" i="1"/>
  <c r="U144" i="1"/>
  <c r="BB144" i="1"/>
  <c r="BW144" i="1"/>
  <c r="A145" i="1"/>
  <c r="C145" i="1"/>
  <c r="S145" i="1"/>
  <c r="T145" i="1"/>
  <c r="U145" i="1"/>
  <c r="BB145" i="1"/>
  <c r="BW145" i="1"/>
  <c r="A146" i="1"/>
  <c r="C146" i="1"/>
  <c r="S146" i="1"/>
  <c r="T146" i="1"/>
  <c r="U146" i="1"/>
  <c r="BB146" i="1"/>
  <c r="BW146" i="1"/>
  <c r="A147" i="1"/>
  <c r="C147" i="1"/>
  <c r="S147" i="1"/>
  <c r="T147" i="1"/>
  <c r="U147" i="1"/>
  <c r="BB147" i="1"/>
  <c r="BW147" i="1"/>
  <c r="A148" i="1"/>
  <c r="C148" i="1"/>
  <c r="S148" i="1"/>
  <c r="T148" i="1"/>
  <c r="U148" i="1"/>
  <c r="BB148" i="1"/>
  <c r="BW148" i="1"/>
  <c r="A149" i="1"/>
  <c r="C149" i="1"/>
  <c r="S149" i="1"/>
  <c r="T149" i="1"/>
  <c r="U149" i="1"/>
  <c r="BB149" i="1"/>
  <c r="BW149" i="1"/>
  <c r="A150" i="1"/>
  <c r="C150" i="1"/>
  <c r="S150" i="1"/>
  <c r="T150" i="1"/>
  <c r="U150" i="1"/>
  <c r="BB150" i="1"/>
  <c r="BW150" i="1"/>
  <c r="A151" i="1"/>
  <c r="C151" i="1"/>
  <c r="S151" i="1"/>
  <c r="T151" i="1"/>
  <c r="U151" i="1"/>
  <c r="BB151" i="1"/>
  <c r="BW151" i="1"/>
  <c r="A152" i="1"/>
  <c r="C152" i="1"/>
  <c r="S152" i="1"/>
  <c r="T152" i="1"/>
  <c r="U152" i="1"/>
  <c r="BB152" i="1"/>
  <c r="BW152" i="1"/>
  <c r="A153" i="1"/>
  <c r="C153" i="1"/>
  <c r="S153" i="1"/>
  <c r="T153" i="1"/>
  <c r="U153" i="1"/>
  <c r="BB153" i="1"/>
  <c r="BW153" i="1"/>
  <c r="A154" i="1"/>
  <c r="C154" i="1"/>
  <c r="S154" i="1"/>
  <c r="T154" i="1"/>
  <c r="U154" i="1"/>
  <c r="BB154" i="1"/>
  <c r="BW154" i="1"/>
  <c r="A155" i="1"/>
  <c r="C155" i="1"/>
  <c r="S155" i="1"/>
  <c r="T155" i="1"/>
  <c r="U155" i="1"/>
  <c r="BB155" i="1"/>
  <c r="BW155" i="1"/>
  <c r="A156" i="1"/>
  <c r="C156" i="1"/>
  <c r="S156" i="1"/>
  <c r="T156" i="1"/>
  <c r="U156" i="1"/>
  <c r="BB156" i="1"/>
  <c r="BW156" i="1"/>
  <c r="A157" i="1"/>
  <c r="C157" i="1"/>
  <c r="S157" i="1"/>
  <c r="T157" i="1"/>
  <c r="U157" i="1"/>
  <c r="BB157" i="1"/>
  <c r="BW157" i="1"/>
  <c r="A158" i="1"/>
  <c r="C158" i="1"/>
  <c r="S158" i="1"/>
  <c r="T158" i="1"/>
  <c r="U158" i="1"/>
  <c r="BB158" i="1"/>
  <c r="BW158" i="1"/>
  <c r="A159" i="1"/>
  <c r="C159" i="1"/>
  <c r="S159" i="1"/>
  <c r="T159" i="1"/>
  <c r="U159" i="1"/>
  <c r="BB159" i="1"/>
  <c r="BW159" i="1"/>
  <c r="A160" i="1"/>
  <c r="C160" i="1"/>
  <c r="S160" i="1"/>
  <c r="T160" i="1"/>
  <c r="U160" i="1"/>
  <c r="BB160" i="1"/>
  <c r="BW160" i="1"/>
  <c r="A161" i="1"/>
  <c r="C161" i="1"/>
  <c r="S161" i="1"/>
  <c r="T161" i="1"/>
  <c r="U161" i="1"/>
  <c r="BB161" i="1"/>
  <c r="BW161" i="1"/>
  <c r="A162" i="1"/>
  <c r="C162" i="1"/>
  <c r="S162" i="1"/>
  <c r="T162" i="1"/>
  <c r="U162" i="1"/>
  <c r="BB162" i="1"/>
  <c r="BW162" i="1"/>
  <c r="A163" i="1"/>
  <c r="C163" i="1"/>
  <c r="S163" i="1"/>
  <c r="T163" i="1"/>
  <c r="U163" i="1"/>
  <c r="BB163" i="1"/>
  <c r="BW163" i="1"/>
  <c r="A164" i="1"/>
  <c r="C164" i="1"/>
  <c r="S164" i="1"/>
  <c r="T164" i="1"/>
  <c r="U164" i="1"/>
  <c r="BB164" i="1"/>
  <c r="BW164" i="1"/>
  <c r="A165" i="1"/>
  <c r="C165" i="1"/>
  <c r="S165" i="1"/>
  <c r="T165" i="1"/>
  <c r="U165" i="1"/>
  <c r="BB165" i="1"/>
  <c r="BW165" i="1"/>
  <c r="A166" i="1"/>
  <c r="C166" i="1"/>
  <c r="S166" i="1"/>
  <c r="T166" i="1"/>
  <c r="U166" i="1"/>
  <c r="BB166" i="1"/>
  <c r="BW166" i="1"/>
  <c r="A167" i="1"/>
  <c r="C167" i="1"/>
  <c r="S167" i="1"/>
  <c r="T167" i="1"/>
  <c r="U167" i="1"/>
  <c r="BB167" i="1"/>
  <c r="BW167" i="1"/>
  <c r="A168" i="1"/>
  <c r="C168" i="1"/>
  <c r="S168" i="1"/>
  <c r="T168" i="1"/>
  <c r="U168" i="1"/>
  <c r="BB168" i="1"/>
  <c r="BW168" i="1"/>
  <c r="A169" i="1"/>
  <c r="C169" i="1"/>
  <c r="S169" i="1"/>
  <c r="T169" i="1"/>
  <c r="U169" i="1"/>
  <c r="BB169" i="1"/>
  <c r="BW169" i="1"/>
  <c r="A170" i="1"/>
  <c r="C170" i="1"/>
  <c r="S170" i="1"/>
  <c r="T170" i="1"/>
  <c r="U170" i="1"/>
  <c r="BB170" i="1"/>
  <c r="BW170" i="1"/>
  <c r="A171" i="1"/>
  <c r="C171" i="1"/>
  <c r="S171" i="1"/>
  <c r="T171" i="1"/>
  <c r="U171" i="1"/>
  <c r="BB171" i="1"/>
  <c r="BW171" i="1"/>
  <c r="A172" i="1"/>
  <c r="C172" i="1"/>
  <c r="S172" i="1"/>
  <c r="T172" i="1"/>
  <c r="U172" i="1"/>
  <c r="BB172" i="1"/>
  <c r="BW172" i="1"/>
  <c r="A173" i="1"/>
  <c r="C173" i="1"/>
  <c r="S173" i="1"/>
  <c r="T173" i="1"/>
  <c r="U173" i="1"/>
  <c r="BB173" i="1"/>
  <c r="BW173" i="1"/>
  <c r="A174" i="1"/>
  <c r="C174" i="1"/>
  <c r="S174" i="1"/>
  <c r="T174" i="1"/>
  <c r="U174" i="1"/>
  <c r="BB174" i="1"/>
  <c r="BW174" i="1"/>
  <c r="A175" i="1"/>
  <c r="C175" i="1"/>
  <c r="S175" i="1"/>
  <c r="T175" i="1"/>
  <c r="U175" i="1"/>
  <c r="BB175" i="1"/>
  <c r="BW175" i="1"/>
  <c r="A176" i="1"/>
  <c r="C176" i="1"/>
  <c r="S176" i="1"/>
  <c r="T176" i="1"/>
  <c r="U176" i="1"/>
  <c r="BB176" i="1"/>
  <c r="BW176" i="1"/>
  <c r="A177" i="1"/>
  <c r="C177" i="1"/>
  <c r="S177" i="1"/>
  <c r="T177" i="1"/>
  <c r="U177" i="1"/>
  <c r="BB177" i="1"/>
  <c r="BW177" i="1"/>
  <c r="A178" i="1"/>
  <c r="C178" i="1"/>
  <c r="S178" i="1"/>
  <c r="T178" i="1"/>
  <c r="U178" i="1"/>
  <c r="BB178" i="1"/>
  <c r="BW178" i="1"/>
  <c r="A179" i="1"/>
  <c r="C179" i="1"/>
  <c r="S179" i="1"/>
  <c r="T179" i="1"/>
  <c r="U179" i="1"/>
  <c r="BB179" i="1"/>
  <c r="BW179" i="1"/>
  <c r="A180" i="1"/>
  <c r="C180" i="1"/>
  <c r="S180" i="1"/>
  <c r="T180" i="1"/>
  <c r="U180" i="1"/>
  <c r="BB180" i="1"/>
  <c r="BW180" i="1"/>
  <c r="A181" i="1"/>
  <c r="C181" i="1"/>
  <c r="S181" i="1"/>
  <c r="T181" i="1"/>
  <c r="U181" i="1"/>
  <c r="BB181" i="1"/>
  <c r="BW181" i="1"/>
  <c r="A182" i="1"/>
  <c r="C182" i="1"/>
  <c r="S182" i="1"/>
  <c r="T182" i="1"/>
  <c r="U182" i="1"/>
  <c r="BB182" i="1"/>
  <c r="BW182" i="1"/>
  <c r="A183" i="1"/>
  <c r="C183" i="1"/>
  <c r="S183" i="1"/>
  <c r="T183" i="1"/>
  <c r="U183" i="1"/>
  <c r="BB183" i="1"/>
  <c r="BW183" i="1"/>
  <c r="A184" i="1"/>
  <c r="C184" i="1"/>
  <c r="S184" i="1"/>
  <c r="T184" i="1"/>
  <c r="U184" i="1"/>
  <c r="BB184" i="1"/>
  <c r="BW184" i="1"/>
  <c r="A185" i="1"/>
  <c r="C185" i="1"/>
  <c r="S185" i="1"/>
  <c r="T185" i="1"/>
  <c r="U185" i="1"/>
  <c r="BB185" i="1"/>
  <c r="BW185" i="1"/>
  <c r="A186" i="1"/>
  <c r="C186" i="1"/>
  <c r="S186" i="1"/>
  <c r="T186" i="1"/>
  <c r="U186" i="1"/>
  <c r="BB186" i="1"/>
  <c r="BW186" i="1"/>
  <c r="A187" i="1"/>
  <c r="C187" i="1"/>
  <c r="S187" i="1"/>
  <c r="T187" i="1"/>
  <c r="U187" i="1"/>
  <c r="BB187" i="1"/>
  <c r="BW187" i="1"/>
  <c r="A188" i="1"/>
  <c r="C188" i="1"/>
  <c r="S188" i="1"/>
  <c r="T188" i="1"/>
  <c r="U188" i="1"/>
  <c r="BB188" i="1"/>
  <c r="BW188" i="1"/>
  <c r="A189" i="1"/>
  <c r="C189" i="1"/>
  <c r="S189" i="1"/>
  <c r="T189" i="1"/>
  <c r="U189" i="1"/>
  <c r="BB189" i="1"/>
  <c r="BW189" i="1"/>
  <c r="A190" i="1"/>
  <c r="C190" i="1"/>
  <c r="S190" i="1"/>
  <c r="T190" i="1"/>
  <c r="U190" i="1"/>
  <c r="BB190" i="1"/>
  <c r="BW190" i="1"/>
  <c r="A191" i="1"/>
  <c r="C191" i="1"/>
  <c r="S191" i="1"/>
  <c r="T191" i="1"/>
  <c r="U191" i="1"/>
  <c r="BB191" i="1"/>
  <c r="BW191" i="1"/>
  <c r="A192" i="1"/>
  <c r="C192" i="1"/>
  <c r="S192" i="1"/>
  <c r="T192" i="1"/>
  <c r="U192" i="1"/>
  <c r="BB192" i="1"/>
  <c r="BW192" i="1"/>
  <c r="A193" i="1"/>
  <c r="C193" i="1"/>
  <c r="S193" i="1"/>
  <c r="T193" i="1"/>
  <c r="U193" i="1"/>
  <c r="BB193" i="1"/>
  <c r="BW193" i="1"/>
  <c r="A194" i="1"/>
  <c r="C194" i="1"/>
  <c r="S194" i="1"/>
  <c r="T194" i="1"/>
  <c r="U194" i="1"/>
  <c r="BB194" i="1"/>
  <c r="BW194" i="1"/>
  <c r="A195" i="1"/>
  <c r="C195" i="1"/>
  <c r="S195" i="1"/>
  <c r="T195" i="1"/>
  <c r="U195" i="1"/>
  <c r="BB195" i="1"/>
  <c r="BW195" i="1"/>
  <c r="A196" i="1"/>
  <c r="C196" i="1"/>
  <c r="S196" i="1"/>
  <c r="T196" i="1"/>
  <c r="U196" i="1"/>
  <c r="BB196" i="1"/>
  <c r="BW196" i="1"/>
  <c r="A197" i="1"/>
  <c r="C197" i="1"/>
  <c r="S197" i="1"/>
  <c r="T197" i="1"/>
  <c r="U197" i="1"/>
  <c r="BB197" i="1"/>
  <c r="BW197" i="1"/>
  <c r="A198" i="1"/>
  <c r="C198" i="1"/>
  <c r="S198" i="1"/>
  <c r="T198" i="1"/>
  <c r="U198" i="1"/>
  <c r="BB198" i="1"/>
  <c r="BW198" i="1"/>
  <c r="A199" i="1"/>
  <c r="C199" i="1"/>
  <c r="S199" i="1"/>
  <c r="T199" i="1"/>
  <c r="U199" i="1"/>
  <c r="BB199" i="1"/>
  <c r="BW199" i="1"/>
  <c r="A200" i="1"/>
  <c r="C200" i="1"/>
  <c r="S200" i="1"/>
  <c r="T200" i="1"/>
  <c r="U200" i="1"/>
  <c r="BB200" i="1"/>
  <c r="BW200" i="1"/>
  <c r="A201" i="1"/>
  <c r="C201" i="1"/>
  <c r="S201" i="1"/>
  <c r="T201" i="1"/>
  <c r="U201" i="1"/>
  <c r="BB201" i="1"/>
  <c r="BW201" i="1"/>
  <c r="A202" i="1"/>
  <c r="C202" i="1"/>
  <c r="S202" i="1"/>
  <c r="T202" i="1"/>
  <c r="U202" i="1"/>
  <c r="BB202" i="1"/>
  <c r="BW202" i="1"/>
  <c r="A203" i="1"/>
  <c r="C203" i="1"/>
  <c r="S203" i="1"/>
  <c r="T203" i="1"/>
  <c r="U203" i="1"/>
  <c r="BB203" i="1"/>
  <c r="BW203" i="1"/>
  <c r="A204" i="1"/>
  <c r="C204" i="1"/>
  <c r="S204" i="1"/>
  <c r="T204" i="1"/>
  <c r="U204" i="1"/>
  <c r="BB204" i="1"/>
  <c r="BW204" i="1"/>
  <c r="A205" i="1"/>
  <c r="C205" i="1"/>
  <c r="S205" i="1"/>
  <c r="T205" i="1"/>
  <c r="U205" i="1"/>
  <c r="BB205" i="1"/>
  <c r="BW205" i="1"/>
  <c r="A206" i="1"/>
  <c r="C206" i="1"/>
  <c r="S206" i="1"/>
  <c r="T206" i="1"/>
  <c r="U206" i="1"/>
  <c r="BB206" i="1"/>
  <c r="BW206" i="1"/>
  <c r="A207" i="1"/>
  <c r="C207" i="1"/>
  <c r="S207" i="1"/>
  <c r="T207" i="1"/>
  <c r="U207" i="1"/>
  <c r="BB207" i="1"/>
  <c r="BW207" i="1"/>
  <c r="A208" i="1"/>
  <c r="C208" i="1"/>
  <c r="S208" i="1"/>
  <c r="T208" i="1"/>
  <c r="U208" i="1"/>
  <c r="BB208" i="1"/>
  <c r="BW208" i="1"/>
  <c r="A209" i="1"/>
  <c r="C209" i="1"/>
  <c r="S209" i="1"/>
  <c r="T209" i="1"/>
  <c r="U209" i="1"/>
  <c r="BB209" i="1"/>
  <c r="BW209" i="1"/>
  <c r="A210" i="1"/>
  <c r="C210" i="1"/>
  <c r="S210" i="1"/>
  <c r="T210" i="1"/>
  <c r="U210" i="1"/>
  <c r="BB210" i="1"/>
  <c r="BW210" i="1"/>
  <c r="A211" i="1"/>
  <c r="C211" i="1"/>
  <c r="S211" i="1"/>
  <c r="T211" i="1"/>
  <c r="U211" i="1"/>
  <c r="BB211" i="1"/>
  <c r="BW211" i="1"/>
  <c r="A212" i="1"/>
  <c r="C212" i="1"/>
  <c r="S212" i="1"/>
  <c r="T212" i="1"/>
  <c r="U212" i="1"/>
  <c r="BB212" i="1"/>
  <c r="BW212" i="1"/>
  <c r="A213" i="1"/>
  <c r="C213" i="1"/>
  <c r="S213" i="1"/>
  <c r="T213" i="1"/>
  <c r="U213" i="1"/>
  <c r="BB213" i="1"/>
  <c r="BW213" i="1"/>
  <c r="A214" i="1"/>
  <c r="C214" i="1"/>
  <c r="S214" i="1"/>
  <c r="T214" i="1"/>
  <c r="U214" i="1"/>
  <c r="BB214" i="1"/>
  <c r="BW214" i="1"/>
  <c r="A215" i="1"/>
  <c r="C215" i="1"/>
  <c r="S215" i="1"/>
  <c r="T215" i="1"/>
  <c r="U215" i="1"/>
  <c r="BB215" i="1"/>
  <c r="BW215" i="1"/>
  <c r="A216" i="1"/>
  <c r="C216" i="1"/>
  <c r="S216" i="1"/>
  <c r="T216" i="1"/>
  <c r="U216" i="1"/>
  <c r="BB216" i="1"/>
  <c r="BW216" i="1"/>
  <c r="A217" i="1"/>
  <c r="C217" i="1"/>
  <c r="S217" i="1"/>
  <c r="T217" i="1"/>
  <c r="U217" i="1"/>
  <c r="BB217" i="1"/>
  <c r="BW217" i="1"/>
  <c r="A218" i="1"/>
  <c r="C218" i="1"/>
  <c r="S218" i="1"/>
  <c r="T218" i="1"/>
  <c r="U218" i="1"/>
  <c r="BB218" i="1"/>
  <c r="BW218" i="1"/>
  <c r="A219" i="1"/>
  <c r="C219" i="1"/>
  <c r="S219" i="1"/>
  <c r="T219" i="1"/>
  <c r="U219" i="1"/>
  <c r="BB219" i="1"/>
  <c r="BW219" i="1"/>
  <c r="A220" i="1"/>
  <c r="C220" i="1"/>
  <c r="S220" i="1"/>
  <c r="T220" i="1"/>
  <c r="U220" i="1"/>
  <c r="BB220" i="1"/>
  <c r="BW220" i="1"/>
  <c r="A221" i="1"/>
  <c r="C221" i="1"/>
  <c r="S221" i="1"/>
  <c r="T221" i="1"/>
  <c r="U221" i="1"/>
  <c r="BB221" i="1"/>
  <c r="BW221" i="1"/>
  <c r="A222" i="1"/>
  <c r="C222" i="1"/>
  <c r="S222" i="1"/>
  <c r="T222" i="1"/>
  <c r="U222" i="1"/>
  <c r="BB222" i="1"/>
  <c r="BW222" i="1"/>
  <c r="A223" i="1"/>
  <c r="C223" i="1"/>
  <c r="S223" i="1"/>
  <c r="T223" i="1"/>
  <c r="U223" i="1"/>
  <c r="BB223" i="1"/>
  <c r="BW223" i="1"/>
  <c r="A224" i="1"/>
  <c r="C224" i="1"/>
  <c r="S224" i="1"/>
  <c r="T224" i="1"/>
  <c r="U224" i="1"/>
  <c r="BB224" i="1"/>
  <c r="BW224" i="1"/>
  <c r="A225" i="1"/>
  <c r="C225" i="1"/>
  <c r="S225" i="1"/>
  <c r="T225" i="1"/>
  <c r="U225" i="1"/>
  <c r="BB225" i="1"/>
  <c r="BW225" i="1"/>
  <c r="A226" i="1"/>
  <c r="C226" i="1"/>
  <c r="S226" i="1"/>
  <c r="T226" i="1"/>
  <c r="U226" i="1"/>
  <c r="BB226" i="1"/>
  <c r="BW226" i="1"/>
  <c r="A227" i="1"/>
  <c r="C227" i="1"/>
  <c r="S227" i="1"/>
  <c r="T227" i="1"/>
  <c r="U227" i="1"/>
  <c r="BB227" i="1"/>
  <c r="BW227" i="1"/>
  <c r="A228" i="1"/>
  <c r="C228" i="1"/>
  <c r="S228" i="1"/>
  <c r="T228" i="1"/>
  <c r="U228" i="1"/>
  <c r="BB228" i="1"/>
  <c r="BW228" i="1"/>
  <c r="A229" i="1"/>
  <c r="C229" i="1"/>
  <c r="S229" i="1"/>
  <c r="T229" i="1"/>
  <c r="U229" i="1"/>
  <c r="BB229" i="1"/>
  <c r="BW229" i="1"/>
  <c r="A230" i="1"/>
  <c r="C230" i="1"/>
  <c r="S230" i="1"/>
  <c r="T230" i="1"/>
  <c r="U230" i="1"/>
  <c r="BB230" i="1"/>
  <c r="BW230" i="1"/>
  <c r="A231" i="1"/>
  <c r="C231" i="1"/>
  <c r="S231" i="1"/>
  <c r="T231" i="1"/>
  <c r="U231" i="1"/>
  <c r="BB231" i="1"/>
  <c r="BW231" i="1"/>
  <c r="A232" i="1"/>
  <c r="C232" i="1"/>
  <c r="S232" i="1"/>
  <c r="T232" i="1"/>
  <c r="U232" i="1"/>
  <c r="BB232" i="1"/>
  <c r="BW232" i="1"/>
  <c r="A233" i="1"/>
  <c r="C233" i="1"/>
  <c r="S233" i="1"/>
  <c r="T233" i="1"/>
  <c r="U233" i="1"/>
  <c r="BB233" i="1"/>
  <c r="BW233" i="1"/>
  <c r="A234" i="1"/>
  <c r="C234" i="1"/>
  <c r="S234" i="1"/>
  <c r="T234" i="1"/>
  <c r="U234" i="1"/>
  <c r="BB234" i="1"/>
  <c r="BW234" i="1"/>
  <c r="A235" i="1"/>
  <c r="C235" i="1"/>
  <c r="S235" i="1"/>
  <c r="T235" i="1"/>
  <c r="U235" i="1"/>
  <c r="BB235" i="1"/>
  <c r="BW235" i="1"/>
  <c r="A236" i="1"/>
  <c r="C236" i="1"/>
  <c r="S236" i="1"/>
  <c r="T236" i="1"/>
  <c r="U236" i="1"/>
  <c r="BB236" i="1"/>
  <c r="BW236" i="1"/>
  <c r="A237" i="1"/>
  <c r="C237" i="1"/>
  <c r="S237" i="1"/>
  <c r="T237" i="1"/>
  <c r="U237" i="1"/>
  <c r="BB237" i="1"/>
  <c r="BW237" i="1"/>
  <c r="A238" i="1"/>
  <c r="C238" i="1"/>
  <c r="S238" i="1"/>
  <c r="T238" i="1"/>
  <c r="U238" i="1"/>
  <c r="BB238" i="1"/>
  <c r="BW238" i="1"/>
  <c r="A239" i="1"/>
  <c r="C239" i="1"/>
  <c r="S239" i="1"/>
  <c r="T239" i="1"/>
  <c r="U239" i="1"/>
  <c r="BB239" i="1"/>
  <c r="BW239" i="1"/>
  <c r="A240" i="1"/>
  <c r="C240" i="1"/>
  <c r="S240" i="1"/>
  <c r="T240" i="1"/>
  <c r="U240" i="1"/>
  <c r="BB240" i="1"/>
  <c r="BW240" i="1"/>
  <c r="A241" i="1"/>
  <c r="C241" i="1"/>
  <c r="S241" i="1"/>
  <c r="T241" i="1"/>
  <c r="U241" i="1"/>
  <c r="BB241" i="1"/>
  <c r="BW241" i="1"/>
  <c r="A242" i="1"/>
  <c r="C242" i="1"/>
  <c r="S242" i="1"/>
  <c r="T242" i="1"/>
  <c r="U242" i="1"/>
  <c r="BB242" i="1"/>
  <c r="BW242" i="1"/>
  <c r="A243" i="1"/>
  <c r="C243" i="1"/>
  <c r="S243" i="1"/>
  <c r="T243" i="1"/>
  <c r="U243" i="1"/>
  <c r="BB243" i="1"/>
  <c r="BW243" i="1"/>
  <c r="A244" i="1"/>
  <c r="C244" i="1"/>
  <c r="S244" i="1"/>
  <c r="T244" i="1"/>
  <c r="U244" i="1"/>
  <c r="BB244" i="1"/>
  <c r="BW244" i="1"/>
  <c r="A245" i="1"/>
  <c r="C245" i="1"/>
  <c r="S245" i="1"/>
  <c r="T245" i="1"/>
  <c r="U245" i="1"/>
  <c r="BB245" i="1"/>
  <c r="BW245" i="1"/>
  <c r="A246" i="1"/>
  <c r="C246" i="1"/>
  <c r="S246" i="1"/>
  <c r="T246" i="1"/>
  <c r="U246" i="1"/>
  <c r="BB246" i="1"/>
  <c r="BW246" i="1"/>
  <c r="A247" i="1"/>
  <c r="C247" i="1"/>
  <c r="S247" i="1"/>
  <c r="T247" i="1"/>
  <c r="U247" i="1"/>
  <c r="BB247" i="1"/>
  <c r="BW247" i="1"/>
  <c r="A248" i="1"/>
  <c r="C248" i="1"/>
  <c r="S248" i="1"/>
  <c r="T248" i="1"/>
  <c r="U248" i="1"/>
  <c r="BB248" i="1"/>
  <c r="BW248" i="1"/>
  <c r="A249" i="1"/>
  <c r="C249" i="1"/>
  <c r="S249" i="1"/>
  <c r="T249" i="1"/>
  <c r="U249" i="1"/>
  <c r="BB249" i="1"/>
  <c r="BW249" i="1"/>
  <c r="A250" i="1"/>
  <c r="C250" i="1"/>
  <c r="S250" i="1"/>
  <c r="T250" i="1"/>
  <c r="U250" i="1"/>
  <c r="BB250" i="1"/>
  <c r="BW250" i="1"/>
  <c r="A251" i="1"/>
  <c r="C251" i="1"/>
  <c r="S251" i="1"/>
  <c r="T251" i="1"/>
  <c r="U251" i="1"/>
  <c r="BB251" i="1"/>
  <c r="BW251" i="1"/>
  <c r="A252" i="1"/>
  <c r="C252" i="1"/>
  <c r="S252" i="1"/>
  <c r="T252" i="1"/>
  <c r="U252" i="1"/>
  <c r="BB252" i="1"/>
  <c r="BW252" i="1"/>
  <c r="A253" i="1"/>
  <c r="C253" i="1"/>
  <c r="S253" i="1"/>
  <c r="T253" i="1"/>
  <c r="U253" i="1"/>
  <c r="BB253" i="1"/>
  <c r="BW253" i="1"/>
  <c r="A254" i="1"/>
  <c r="C254" i="1"/>
  <c r="S254" i="1"/>
  <c r="T254" i="1"/>
  <c r="U254" i="1"/>
  <c r="BB254" i="1"/>
  <c r="BW254" i="1"/>
  <c r="A255" i="1"/>
  <c r="C255" i="1"/>
  <c r="S255" i="1"/>
  <c r="T255" i="1"/>
  <c r="U255" i="1"/>
  <c r="BB255" i="1"/>
  <c r="BW255" i="1"/>
  <c r="A256" i="1"/>
  <c r="C256" i="1"/>
  <c r="S256" i="1"/>
  <c r="T256" i="1"/>
  <c r="U256" i="1"/>
  <c r="BB256" i="1"/>
  <c r="BW256" i="1"/>
  <c r="A257" i="1"/>
  <c r="C257" i="1"/>
  <c r="S257" i="1"/>
  <c r="T257" i="1"/>
  <c r="U257" i="1"/>
  <c r="BB257" i="1"/>
  <c r="BW257" i="1"/>
  <c r="A258" i="1"/>
  <c r="C258" i="1"/>
  <c r="S258" i="1"/>
  <c r="T258" i="1"/>
  <c r="U258" i="1"/>
  <c r="BB258" i="1"/>
  <c r="BW258" i="1"/>
  <c r="A259" i="1"/>
  <c r="C259" i="1"/>
  <c r="S259" i="1"/>
  <c r="T259" i="1"/>
  <c r="U259" i="1"/>
  <c r="BB259" i="1"/>
  <c r="BW259" i="1"/>
  <c r="A260" i="1"/>
  <c r="C260" i="1"/>
  <c r="S260" i="1"/>
  <c r="T260" i="1"/>
  <c r="U260" i="1"/>
  <c r="BB260" i="1"/>
  <c r="BW260" i="1"/>
  <c r="A261" i="1"/>
  <c r="C261" i="1"/>
  <c r="S261" i="1"/>
  <c r="T261" i="1"/>
  <c r="U261" i="1"/>
  <c r="BB261" i="1"/>
  <c r="BW261" i="1"/>
  <c r="A262" i="1"/>
  <c r="C262" i="1"/>
  <c r="S262" i="1"/>
  <c r="T262" i="1"/>
  <c r="U262" i="1"/>
  <c r="BB262" i="1"/>
  <c r="BW262" i="1"/>
  <c r="A263" i="1"/>
  <c r="C263" i="1"/>
  <c r="S263" i="1"/>
  <c r="T263" i="1"/>
  <c r="U263" i="1"/>
  <c r="BB263" i="1"/>
  <c r="BW263" i="1"/>
  <c r="A264" i="1"/>
  <c r="C264" i="1"/>
  <c r="S264" i="1"/>
  <c r="T264" i="1"/>
  <c r="U264" i="1"/>
  <c r="BB264" i="1"/>
  <c r="BW264" i="1"/>
  <c r="A265" i="1"/>
  <c r="C265" i="1"/>
  <c r="S265" i="1"/>
  <c r="T265" i="1"/>
  <c r="U265" i="1"/>
  <c r="BB265" i="1"/>
  <c r="BW265" i="1"/>
  <c r="A266" i="1"/>
  <c r="C266" i="1"/>
  <c r="S266" i="1"/>
  <c r="T266" i="1"/>
  <c r="U266" i="1"/>
  <c r="BB266" i="1"/>
  <c r="BW266" i="1"/>
  <c r="A267" i="1"/>
  <c r="C267" i="1"/>
  <c r="S267" i="1"/>
  <c r="T267" i="1"/>
  <c r="U267" i="1"/>
  <c r="BB267" i="1"/>
  <c r="BW267" i="1"/>
  <c r="A268" i="1"/>
  <c r="C268" i="1"/>
  <c r="S268" i="1"/>
  <c r="T268" i="1"/>
  <c r="U268" i="1"/>
  <c r="BB268" i="1"/>
  <c r="BW268" i="1"/>
  <c r="A269" i="1"/>
  <c r="C269" i="1"/>
  <c r="S269" i="1"/>
  <c r="T269" i="1"/>
  <c r="U269" i="1"/>
  <c r="BB269" i="1"/>
  <c r="BW269" i="1"/>
  <c r="A270" i="1"/>
  <c r="C270" i="1"/>
  <c r="S270" i="1"/>
  <c r="T270" i="1"/>
  <c r="U270" i="1"/>
  <c r="BB270" i="1"/>
  <c r="BW270" i="1"/>
  <c r="A271" i="1"/>
  <c r="C271" i="1"/>
  <c r="S271" i="1"/>
  <c r="T271" i="1"/>
  <c r="U271" i="1"/>
  <c r="BB271" i="1"/>
  <c r="BW271" i="1"/>
  <c r="A272" i="1"/>
  <c r="C272" i="1"/>
  <c r="S272" i="1"/>
  <c r="T272" i="1"/>
  <c r="U272" i="1"/>
  <c r="BB272" i="1"/>
  <c r="BW272" i="1"/>
  <c r="A273" i="1"/>
  <c r="C273" i="1"/>
  <c r="S273" i="1"/>
  <c r="T273" i="1"/>
  <c r="U273" i="1"/>
  <c r="BB273" i="1"/>
  <c r="BW273" i="1"/>
  <c r="A274" i="1"/>
  <c r="C274" i="1"/>
  <c r="S274" i="1"/>
  <c r="T274" i="1"/>
  <c r="U274" i="1"/>
  <c r="BB274" i="1"/>
  <c r="BW274" i="1"/>
  <c r="A275" i="1"/>
  <c r="C275" i="1"/>
  <c r="S275" i="1"/>
  <c r="T275" i="1"/>
  <c r="U275" i="1"/>
  <c r="BB275" i="1"/>
  <c r="BW275" i="1"/>
  <c r="A276" i="1"/>
  <c r="C276" i="1"/>
  <c r="S276" i="1"/>
  <c r="T276" i="1"/>
  <c r="U276" i="1"/>
  <c r="BB276" i="1"/>
  <c r="BW276" i="1"/>
  <c r="A277" i="1"/>
  <c r="C277" i="1"/>
  <c r="S277" i="1"/>
  <c r="T277" i="1"/>
  <c r="U277" i="1"/>
  <c r="BB277" i="1"/>
  <c r="BW277" i="1"/>
  <c r="A278" i="1"/>
  <c r="C278" i="1"/>
  <c r="S278" i="1"/>
  <c r="T278" i="1"/>
  <c r="U278" i="1"/>
  <c r="BB278" i="1"/>
  <c r="BW278" i="1"/>
  <c r="A279" i="1"/>
  <c r="C279" i="1"/>
  <c r="S279" i="1"/>
  <c r="T279" i="1"/>
  <c r="U279" i="1"/>
  <c r="BB279" i="1"/>
  <c r="BW279" i="1"/>
  <c r="A280" i="1"/>
  <c r="C280" i="1"/>
  <c r="S280" i="1"/>
  <c r="T280" i="1"/>
  <c r="U280" i="1"/>
  <c r="BB280" i="1"/>
  <c r="BW280" i="1"/>
  <c r="A281" i="1"/>
  <c r="C281" i="1"/>
  <c r="S281" i="1"/>
  <c r="T281" i="1"/>
  <c r="U281" i="1"/>
  <c r="BB281" i="1"/>
  <c r="BW281" i="1"/>
  <c r="A282" i="1"/>
  <c r="C282" i="1"/>
  <c r="S282" i="1"/>
  <c r="T282" i="1"/>
  <c r="U282" i="1"/>
  <c r="BB282" i="1"/>
  <c r="BW282" i="1"/>
  <c r="A283" i="1"/>
  <c r="C283" i="1"/>
  <c r="S283" i="1"/>
  <c r="T283" i="1"/>
  <c r="U283" i="1"/>
  <c r="BB283" i="1"/>
  <c r="BW283" i="1"/>
  <c r="A284" i="1"/>
  <c r="C284" i="1"/>
  <c r="S284" i="1"/>
  <c r="T284" i="1"/>
  <c r="U284" i="1"/>
  <c r="BB284" i="1"/>
  <c r="BW284" i="1"/>
  <c r="A285" i="1"/>
  <c r="C285" i="1"/>
  <c r="S285" i="1"/>
  <c r="T285" i="1"/>
  <c r="U285" i="1"/>
  <c r="BB285" i="1"/>
  <c r="BW285" i="1"/>
  <c r="A286" i="1"/>
  <c r="C286" i="1"/>
  <c r="S286" i="1"/>
  <c r="T286" i="1"/>
  <c r="U286" i="1"/>
  <c r="BB286" i="1"/>
  <c r="BW286" i="1"/>
  <c r="A287" i="1"/>
  <c r="C287" i="1"/>
  <c r="S287" i="1"/>
  <c r="T287" i="1"/>
  <c r="U287" i="1"/>
  <c r="BB287" i="1"/>
  <c r="BW287" i="1"/>
  <c r="A288" i="1"/>
  <c r="C288" i="1"/>
  <c r="S288" i="1"/>
  <c r="T288" i="1"/>
  <c r="U288" i="1"/>
  <c r="BB288" i="1"/>
  <c r="BW288" i="1"/>
  <c r="A289" i="1"/>
  <c r="C289" i="1"/>
  <c r="S289" i="1"/>
  <c r="T289" i="1"/>
  <c r="U289" i="1"/>
  <c r="BB289" i="1"/>
  <c r="BW289" i="1"/>
  <c r="A290" i="1"/>
  <c r="C290" i="1"/>
  <c r="S290" i="1"/>
  <c r="T290" i="1"/>
  <c r="U290" i="1"/>
  <c r="BB290" i="1"/>
  <c r="BW290" i="1"/>
  <c r="A291" i="1"/>
  <c r="C291" i="1"/>
  <c r="S291" i="1"/>
  <c r="T291" i="1"/>
  <c r="U291" i="1"/>
  <c r="BB291" i="1"/>
  <c r="BW291" i="1"/>
  <c r="A292" i="1"/>
  <c r="C292" i="1"/>
  <c r="S292" i="1"/>
  <c r="T292" i="1"/>
  <c r="U292" i="1"/>
  <c r="BB292" i="1"/>
  <c r="BW292" i="1"/>
  <c r="A293" i="1"/>
  <c r="C293" i="1"/>
  <c r="S293" i="1"/>
  <c r="T293" i="1"/>
  <c r="U293" i="1"/>
  <c r="BB293" i="1"/>
  <c r="BW293" i="1"/>
  <c r="A294" i="1"/>
  <c r="C294" i="1"/>
  <c r="S294" i="1"/>
  <c r="T294" i="1"/>
  <c r="U294" i="1"/>
  <c r="BB294" i="1"/>
  <c r="BW294" i="1"/>
  <c r="A295" i="1"/>
  <c r="C295" i="1"/>
  <c r="S295" i="1"/>
  <c r="T295" i="1"/>
  <c r="U295" i="1"/>
  <c r="BB295" i="1"/>
  <c r="BW295" i="1"/>
  <c r="A296" i="1"/>
  <c r="C296" i="1"/>
  <c r="S296" i="1"/>
  <c r="T296" i="1"/>
  <c r="U296" i="1"/>
  <c r="BB296" i="1"/>
  <c r="BW296" i="1"/>
  <c r="A297" i="1"/>
  <c r="C297" i="1"/>
  <c r="S297" i="1"/>
  <c r="T297" i="1"/>
  <c r="U297" i="1"/>
  <c r="BB297" i="1"/>
  <c r="BW297" i="1"/>
  <c r="A298" i="1"/>
  <c r="C298" i="1"/>
  <c r="S298" i="1"/>
  <c r="T298" i="1"/>
  <c r="U298" i="1"/>
  <c r="BB298" i="1"/>
  <c r="BW298" i="1"/>
  <c r="A299" i="1"/>
  <c r="C299" i="1"/>
  <c r="S299" i="1"/>
  <c r="T299" i="1"/>
  <c r="U299" i="1"/>
  <c r="BB299" i="1"/>
  <c r="BW299" i="1"/>
  <c r="A300" i="1"/>
  <c r="C300" i="1"/>
  <c r="S300" i="1"/>
  <c r="T300" i="1"/>
  <c r="U300" i="1"/>
  <c r="BB300" i="1"/>
  <c r="BW300" i="1"/>
  <c r="A301" i="1"/>
  <c r="C301" i="1"/>
  <c r="S301" i="1"/>
  <c r="T301" i="1"/>
  <c r="U301" i="1"/>
  <c r="BB301" i="1"/>
  <c r="BW301" i="1"/>
  <c r="A302" i="1"/>
  <c r="C302" i="1"/>
  <c r="S302" i="1"/>
  <c r="T302" i="1"/>
  <c r="U302" i="1"/>
  <c r="BB302" i="1"/>
  <c r="BW302" i="1"/>
  <c r="A303" i="1"/>
  <c r="C303" i="1"/>
  <c r="S303" i="1"/>
  <c r="T303" i="1"/>
  <c r="U303" i="1"/>
  <c r="BB303" i="1"/>
  <c r="BW303" i="1"/>
  <c r="A304" i="1"/>
  <c r="C304" i="1"/>
  <c r="S304" i="1"/>
  <c r="T304" i="1"/>
  <c r="U304" i="1"/>
  <c r="BB304" i="1"/>
  <c r="BW304" i="1"/>
  <c r="A305" i="1"/>
  <c r="C305" i="1"/>
  <c r="S305" i="1"/>
  <c r="T305" i="1"/>
  <c r="U305" i="1"/>
  <c r="BB305" i="1"/>
  <c r="BW305" i="1"/>
  <c r="A306" i="1"/>
  <c r="C306" i="1"/>
  <c r="S306" i="1"/>
  <c r="T306" i="1"/>
  <c r="U306" i="1"/>
  <c r="BB306" i="1"/>
  <c r="BW306" i="1"/>
  <c r="A307" i="1"/>
  <c r="C307" i="1"/>
  <c r="S307" i="1"/>
  <c r="T307" i="1"/>
  <c r="U307" i="1"/>
  <c r="BB307" i="1"/>
  <c r="BW307" i="1"/>
  <c r="A308" i="1"/>
  <c r="C308" i="1"/>
  <c r="S308" i="1"/>
  <c r="T308" i="1"/>
  <c r="U308" i="1"/>
  <c r="BB308" i="1"/>
  <c r="BW308" i="1"/>
  <c r="A309" i="1"/>
  <c r="C309" i="1"/>
  <c r="S309" i="1"/>
  <c r="T309" i="1"/>
  <c r="U309" i="1"/>
  <c r="BB309" i="1"/>
  <c r="BW309" i="1"/>
  <c r="A310" i="1"/>
  <c r="C310" i="1"/>
  <c r="S310" i="1"/>
  <c r="T310" i="1"/>
  <c r="U310" i="1"/>
  <c r="BB310" i="1"/>
  <c r="BW310" i="1"/>
  <c r="A311" i="1"/>
  <c r="C311" i="1"/>
  <c r="S311" i="1"/>
  <c r="T311" i="1"/>
  <c r="U311" i="1"/>
  <c r="BB311" i="1"/>
  <c r="BW311" i="1"/>
  <c r="A312" i="1"/>
  <c r="C312" i="1"/>
  <c r="S312" i="1"/>
  <c r="T312" i="1"/>
  <c r="U312" i="1"/>
  <c r="BB312" i="1"/>
  <c r="BW312" i="1"/>
  <c r="A313" i="1"/>
  <c r="C313" i="1"/>
  <c r="S313" i="1"/>
  <c r="T313" i="1"/>
  <c r="U313" i="1"/>
  <c r="BB313" i="1"/>
  <c r="BW313" i="1"/>
  <c r="A314" i="1"/>
  <c r="C314" i="1"/>
  <c r="S314" i="1"/>
  <c r="T314" i="1"/>
  <c r="U314" i="1"/>
  <c r="BB314" i="1"/>
  <c r="BW314" i="1"/>
  <c r="A315" i="1"/>
  <c r="C315" i="1"/>
  <c r="S315" i="1"/>
  <c r="T315" i="1"/>
  <c r="U315" i="1"/>
  <c r="BB315" i="1"/>
  <c r="BW315" i="1"/>
  <c r="A316" i="1"/>
  <c r="C316" i="1"/>
  <c r="S316" i="1"/>
  <c r="T316" i="1"/>
  <c r="U316" i="1"/>
  <c r="BB316" i="1"/>
  <c r="BW316" i="1"/>
  <c r="A317" i="1"/>
  <c r="C317" i="1"/>
  <c r="S317" i="1"/>
  <c r="T317" i="1"/>
  <c r="U317" i="1"/>
  <c r="BB317" i="1"/>
  <c r="BW317" i="1"/>
  <c r="A318" i="1"/>
  <c r="C318" i="1"/>
  <c r="S318" i="1"/>
  <c r="T318" i="1"/>
  <c r="U318" i="1"/>
  <c r="BB318" i="1"/>
  <c r="BW318" i="1"/>
  <c r="A319" i="1"/>
  <c r="C319" i="1"/>
  <c r="S319" i="1"/>
  <c r="T319" i="1"/>
  <c r="U319" i="1"/>
  <c r="BB319" i="1"/>
  <c r="BW319" i="1"/>
  <c r="A320" i="1"/>
  <c r="C320" i="1"/>
  <c r="S320" i="1"/>
  <c r="T320" i="1"/>
  <c r="U320" i="1"/>
  <c r="BB320" i="1"/>
  <c r="BW320" i="1"/>
  <c r="A321" i="1"/>
  <c r="C321" i="1"/>
  <c r="S321" i="1"/>
  <c r="T321" i="1"/>
  <c r="U321" i="1"/>
  <c r="BB321" i="1"/>
  <c r="BW321" i="1"/>
  <c r="A322" i="1"/>
  <c r="C322" i="1"/>
  <c r="S322" i="1"/>
  <c r="T322" i="1"/>
  <c r="U322" i="1"/>
  <c r="BB322" i="1"/>
  <c r="BW322" i="1"/>
  <c r="A323" i="1"/>
  <c r="C323" i="1"/>
  <c r="S323" i="1"/>
  <c r="T323" i="1"/>
  <c r="U323" i="1"/>
  <c r="BB323" i="1"/>
  <c r="BW323" i="1"/>
  <c r="A324" i="1"/>
  <c r="C324" i="1"/>
  <c r="S324" i="1"/>
  <c r="T324" i="1"/>
  <c r="U324" i="1"/>
  <c r="BB324" i="1"/>
  <c r="BW324" i="1"/>
  <c r="A325" i="1"/>
  <c r="C325" i="1"/>
  <c r="S325" i="1"/>
  <c r="T325" i="1"/>
  <c r="U325" i="1"/>
  <c r="BB325" i="1"/>
  <c r="BW325" i="1"/>
  <c r="A326" i="1"/>
  <c r="C326" i="1"/>
  <c r="S326" i="1"/>
  <c r="T326" i="1"/>
  <c r="U326" i="1"/>
  <c r="BB326" i="1"/>
  <c r="BW326" i="1"/>
  <c r="A327" i="1"/>
  <c r="C327" i="1"/>
  <c r="S327" i="1"/>
  <c r="T327" i="1"/>
  <c r="U327" i="1"/>
  <c r="BB327" i="1"/>
  <c r="BW327" i="1"/>
  <c r="A328" i="1"/>
  <c r="C328" i="1"/>
  <c r="S328" i="1"/>
  <c r="T328" i="1"/>
  <c r="U328" i="1"/>
  <c r="BB328" i="1"/>
  <c r="BW328" i="1"/>
  <c r="A329" i="1"/>
  <c r="C329" i="1"/>
  <c r="S329" i="1"/>
  <c r="T329" i="1"/>
  <c r="U329" i="1"/>
  <c r="BB329" i="1"/>
  <c r="BW329" i="1"/>
  <c r="A330" i="1"/>
  <c r="C330" i="1"/>
  <c r="S330" i="1"/>
  <c r="T330" i="1"/>
  <c r="U330" i="1"/>
  <c r="BB330" i="1"/>
  <c r="BW330" i="1"/>
  <c r="A331" i="1"/>
  <c r="C331" i="1"/>
  <c r="S331" i="1"/>
  <c r="T331" i="1"/>
  <c r="U331" i="1"/>
  <c r="BB331" i="1"/>
  <c r="BW331" i="1"/>
  <c r="A332" i="1"/>
  <c r="C332" i="1"/>
  <c r="S332" i="1"/>
  <c r="T332" i="1"/>
  <c r="U332" i="1"/>
  <c r="BB332" i="1"/>
  <c r="BW332" i="1"/>
  <c r="A333" i="1"/>
  <c r="C333" i="1"/>
  <c r="S333" i="1"/>
  <c r="T333" i="1"/>
  <c r="U333" i="1"/>
  <c r="BB333" i="1"/>
  <c r="BW333" i="1"/>
  <c r="A334" i="1"/>
  <c r="C334" i="1"/>
  <c r="S334" i="1"/>
  <c r="T334" i="1"/>
  <c r="U334" i="1"/>
  <c r="BB334" i="1"/>
  <c r="BW334" i="1"/>
  <c r="A335" i="1"/>
  <c r="C335" i="1"/>
  <c r="S335" i="1"/>
  <c r="T335" i="1"/>
  <c r="U335" i="1"/>
  <c r="BB335" i="1"/>
  <c r="BW335" i="1"/>
  <c r="A336" i="1"/>
  <c r="C336" i="1"/>
  <c r="S336" i="1"/>
  <c r="T336" i="1"/>
  <c r="U336" i="1"/>
  <c r="BB336" i="1"/>
  <c r="BW336" i="1"/>
  <c r="A337" i="1"/>
  <c r="C337" i="1"/>
  <c r="S337" i="1"/>
  <c r="T337" i="1"/>
  <c r="U337" i="1"/>
  <c r="BB337" i="1"/>
  <c r="BW337" i="1"/>
  <c r="A338" i="1"/>
  <c r="C338" i="1"/>
  <c r="S338" i="1"/>
  <c r="T338" i="1"/>
  <c r="U338" i="1"/>
  <c r="BB338" i="1"/>
  <c r="BW338" i="1"/>
  <c r="A339" i="1"/>
  <c r="C339" i="1"/>
  <c r="S339" i="1"/>
  <c r="T339" i="1"/>
  <c r="U339" i="1"/>
  <c r="BB339" i="1"/>
  <c r="BW339" i="1"/>
  <c r="A340" i="1"/>
  <c r="C340" i="1"/>
  <c r="S340" i="1"/>
  <c r="T340" i="1"/>
  <c r="U340" i="1"/>
  <c r="BB340" i="1"/>
  <c r="BW340" i="1"/>
  <c r="A341" i="1"/>
  <c r="C341" i="1"/>
  <c r="S341" i="1"/>
  <c r="T341" i="1"/>
  <c r="U341" i="1"/>
  <c r="BB341" i="1"/>
  <c r="BW341" i="1"/>
  <c r="A342" i="1"/>
  <c r="C342" i="1"/>
  <c r="S342" i="1"/>
  <c r="T342" i="1"/>
  <c r="U342" i="1"/>
  <c r="BB342" i="1"/>
  <c r="BW342" i="1"/>
  <c r="A343" i="1"/>
  <c r="C343" i="1"/>
  <c r="S343" i="1"/>
  <c r="T343" i="1"/>
  <c r="U343" i="1"/>
  <c r="BB343" i="1"/>
  <c r="BW343" i="1"/>
  <c r="A344" i="1"/>
  <c r="C344" i="1"/>
  <c r="S344" i="1"/>
  <c r="T344" i="1"/>
  <c r="U344" i="1"/>
  <c r="BB344" i="1"/>
  <c r="BW344" i="1"/>
  <c r="A345" i="1"/>
  <c r="C345" i="1"/>
  <c r="S345" i="1"/>
  <c r="T345" i="1"/>
  <c r="U345" i="1"/>
  <c r="BB345" i="1"/>
  <c r="BW345" i="1"/>
  <c r="A346" i="1"/>
  <c r="C346" i="1"/>
  <c r="S346" i="1"/>
  <c r="T346" i="1"/>
  <c r="U346" i="1"/>
  <c r="BB346" i="1"/>
  <c r="BW346" i="1"/>
  <c r="A347" i="1"/>
  <c r="C347" i="1"/>
  <c r="S347" i="1"/>
  <c r="T347" i="1"/>
  <c r="U347" i="1"/>
  <c r="BB347" i="1"/>
  <c r="BW347" i="1"/>
  <c r="A348" i="1"/>
  <c r="C348" i="1"/>
  <c r="S348" i="1"/>
  <c r="T348" i="1"/>
  <c r="U348" i="1"/>
  <c r="BB348" i="1"/>
  <c r="BW348" i="1"/>
  <c r="A349" i="1"/>
  <c r="C349" i="1"/>
  <c r="S349" i="1"/>
  <c r="T349" i="1"/>
  <c r="U349" i="1"/>
  <c r="BB349" i="1"/>
  <c r="BW349" i="1"/>
  <c r="A350" i="1"/>
  <c r="C350" i="1"/>
  <c r="S350" i="1"/>
  <c r="T350" i="1"/>
  <c r="U350" i="1"/>
  <c r="BB350" i="1"/>
  <c r="BW350" i="1"/>
  <c r="A351" i="1"/>
  <c r="C351" i="1"/>
  <c r="S351" i="1"/>
  <c r="T351" i="1"/>
  <c r="U351" i="1"/>
  <c r="BB351" i="1"/>
  <c r="BW351" i="1"/>
  <c r="A352" i="1"/>
  <c r="C352" i="1"/>
  <c r="S352" i="1"/>
  <c r="T352" i="1"/>
  <c r="U352" i="1"/>
  <c r="BB352" i="1"/>
  <c r="BW352" i="1"/>
  <c r="A353" i="1"/>
  <c r="C353" i="1"/>
  <c r="S353" i="1"/>
  <c r="T353" i="1"/>
  <c r="U353" i="1"/>
  <c r="BB353" i="1"/>
  <c r="BW353" i="1"/>
  <c r="A354" i="1"/>
  <c r="C354" i="1"/>
  <c r="S354" i="1"/>
  <c r="T354" i="1"/>
  <c r="U354" i="1"/>
  <c r="BB354" i="1"/>
  <c r="BW354" i="1"/>
  <c r="A355" i="1"/>
  <c r="C355" i="1"/>
  <c r="S355" i="1"/>
  <c r="T355" i="1"/>
  <c r="U355" i="1"/>
  <c r="BB355" i="1"/>
  <c r="BW355" i="1"/>
  <c r="A356" i="1"/>
  <c r="C356" i="1"/>
  <c r="S356" i="1"/>
  <c r="T356" i="1"/>
  <c r="U356" i="1"/>
  <c r="BB356" i="1"/>
  <c r="BW356" i="1"/>
  <c r="A357" i="1"/>
  <c r="C357" i="1"/>
  <c r="S357" i="1"/>
  <c r="T357" i="1"/>
  <c r="U357" i="1"/>
  <c r="BB357" i="1"/>
  <c r="BW357" i="1"/>
  <c r="A358" i="1"/>
  <c r="C358" i="1"/>
  <c r="S358" i="1"/>
  <c r="T358" i="1"/>
  <c r="U358" i="1"/>
  <c r="BB358" i="1"/>
  <c r="BW358" i="1"/>
  <c r="A359" i="1"/>
  <c r="C359" i="1"/>
  <c r="S359" i="1"/>
  <c r="T359" i="1"/>
  <c r="U359" i="1"/>
  <c r="BB359" i="1"/>
  <c r="BW359" i="1"/>
  <c r="A360" i="1"/>
  <c r="C360" i="1"/>
  <c r="S360" i="1"/>
  <c r="T360" i="1"/>
  <c r="U360" i="1"/>
  <c r="BB360" i="1"/>
  <c r="BW360" i="1"/>
  <c r="A361" i="1"/>
  <c r="C361" i="1"/>
  <c r="S361" i="1"/>
  <c r="T361" i="1"/>
  <c r="U361" i="1"/>
  <c r="BB361" i="1"/>
  <c r="BW361" i="1"/>
  <c r="A362" i="1"/>
  <c r="C362" i="1"/>
  <c r="S362" i="1"/>
  <c r="T362" i="1"/>
  <c r="U362" i="1"/>
  <c r="BB362" i="1"/>
  <c r="BW362" i="1"/>
  <c r="A363" i="1"/>
  <c r="C363" i="1"/>
  <c r="S363" i="1"/>
  <c r="T363" i="1"/>
  <c r="U363" i="1"/>
  <c r="BB363" i="1"/>
  <c r="BW363" i="1"/>
  <c r="A364" i="1"/>
  <c r="C364" i="1"/>
  <c r="S364" i="1"/>
  <c r="T364" i="1"/>
  <c r="U364" i="1"/>
  <c r="BB364" i="1"/>
  <c r="BW364" i="1"/>
  <c r="A365" i="1"/>
  <c r="C365" i="1"/>
  <c r="S365" i="1"/>
  <c r="T365" i="1"/>
  <c r="U365" i="1"/>
  <c r="BB365" i="1"/>
  <c r="BW365" i="1"/>
  <c r="A366" i="1"/>
  <c r="C366" i="1"/>
  <c r="S366" i="1"/>
  <c r="T366" i="1"/>
  <c r="U366" i="1"/>
  <c r="BB366" i="1"/>
  <c r="BW366" i="1"/>
  <c r="A367" i="1"/>
  <c r="C367" i="1"/>
  <c r="S367" i="1"/>
  <c r="T367" i="1"/>
  <c r="U367" i="1"/>
  <c r="BB367" i="1"/>
  <c r="BW367" i="1"/>
  <c r="A368" i="1"/>
  <c r="C368" i="1"/>
  <c r="S368" i="1"/>
  <c r="T368" i="1"/>
  <c r="U368" i="1"/>
  <c r="BB368" i="1"/>
  <c r="BW368" i="1"/>
  <c r="A369" i="1"/>
  <c r="C369" i="1"/>
  <c r="S369" i="1"/>
  <c r="T369" i="1"/>
  <c r="U369" i="1"/>
  <c r="BB369" i="1"/>
  <c r="BW369" i="1"/>
  <c r="A370" i="1"/>
  <c r="C370" i="1"/>
  <c r="S370" i="1"/>
  <c r="T370" i="1"/>
  <c r="U370" i="1"/>
  <c r="BB370" i="1"/>
  <c r="BW370" i="1"/>
  <c r="A371" i="1"/>
  <c r="C371" i="1"/>
  <c r="S371" i="1"/>
  <c r="T371" i="1"/>
  <c r="U371" i="1"/>
  <c r="BB371" i="1"/>
  <c r="BW371" i="1"/>
  <c r="A372" i="1"/>
  <c r="C372" i="1"/>
  <c r="S372" i="1"/>
  <c r="T372" i="1"/>
  <c r="U372" i="1"/>
  <c r="BB372" i="1"/>
  <c r="BW372" i="1"/>
  <c r="A373" i="1"/>
  <c r="C373" i="1"/>
  <c r="S373" i="1"/>
  <c r="T373" i="1"/>
  <c r="U373" i="1"/>
  <c r="BB373" i="1"/>
  <c r="BW373" i="1"/>
  <c r="A374" i="1"/>
  <c r="C374" i="1"/>
  <c r="S374" i="1"/>
  <c r="T374" i="1"/>
  <c r="U374" i="1"/>
  <c r="BB374" i="1"/>
  <c r="BW374" i="1"/>
  <c r="A375" i="1"/>
  <c r="C375" i="1"/>
  <c r="S375" i="1"/>
  <c r="T375" i="1"/>
  <c r="U375" i="1"/>
  <c r="BB375" i="1"/>
  <c r="BW375" i="1"/>
  <c r="A376" i="1"/>
  <c r="C376" i="1"/>
  <c r="S376" i="1"/>
  <c r="T376" i="1"/>
  <c r="U376" i="1"/>
  <c r="BB376" i="1"/>
  <c r="BW376" i="1"/>
  <c r="A377" i="1"/>
  <c r="C377" i="1"/>
  <c r="S377" i="1"/>
  <c r="T377" i="1"/>
  <c r="U377" i="1"/>
  <c r="BB377" i="1"/>
  <c r="BW377" i="1"/>
  <c r="A378" i="1"/>
  <c r="C378" i="1"/>
  <c r="S378" i="1"/>
  <c r="T378" i="1"/>
  <c r="U378" i="1"/>
  <c r="BB378" i="1"/>
  <c r="BW378" i="1"/>
  <c r="A379" i="1"/>
  <c r="C379" i="1"/>
  <c r="S379" i="1"/>
  <c r="T379" i="1"/>
  <c r="U379" i="1"/>
  <c r="BB379" i="1"/>
  <c r="BW379" i="1"/>
  <c r="A380" i="1"/>
  <c r="C380" i="1"/>
  <c r="S380" i="1"/>
  <c r="T380" i="1"/>
  <c r="U380" i="1"/>
  <c r="BB380" i="1"/>
  <c r="BW380" i="1"/>
  <c r="A381" i="1"/>
  <c r="C381" i="1"/>
  <c r="S381" i="1"/>
  <c r="T381" i="1"/>
  <c r="U381" i="1"/>
  <c r="BB381" i="1"/>
  <c r="BW381" i="1"/>
  <c r="A382" i="1"/>
  <c r="C382" i="1"/>
  <c r="S382" i="1"/>
  <c r="T382" i="1"/>
  <c r="U382" i="1"/>
  <c r="BB382" i="1"/>
  <c r="BW382" i="1"/>
  <c r="A383" i="1"/>
  <c r="C383" i="1"/>
  <c r="S383" i="1"/>
  <c r="T383" i="1"/>
  <c r="U383" i="1"/>
  <c r="BB383" i="1"/>
  <c r="BW383" i="1"/>
  <c r="A384" i="1"/>
  <c r="C384" i="1"/>
  <c r="S384" i="1"/>
  <c r="T384" i="1"/>
  <c r="U384" i="1"/>
  <c r="BB384" i="1"/>
  <c r="BW384" i="1"/>
  <c r="A385" i="1"/>
  <c r="C385" i="1"/>
  <c r="S385" i="1"/>
  <c r="T385" i="1"/>
  <c r="U385" i="1"/>
  <c r="BB385" i="1"/>
  <c r="BW385" i="1"/>
  <c r="A386" i="1"/>
  <c r="C386" i="1"/>
  <c r="S386" i="1"/>
  <c r="T386" i="1"/>
  <c r="U386" i="1"/>
  <c r="BB386" i="1"/>
  <c r="BW386" i="1"/>
  <c r="A387" i="1"/>
  <c r="C387" i="1"/>
  <c r="S387" i="1"/>
  <c r="T387" i="1"/>
  <c r="U387" i="1"/>
  <c r="BB387" i="1"/>
  <c r="BW387" i="1"/>
  <c r="A388" i="1"/>
  <c r="C388" i="1"/>
  <c r="S388" i="1"/>
  <c r="T388" i="1"/>
  <c r="U388" i="1"/>
  <c r="BB388" i="1"/>
  <c r="BW388" i="1"/>
  <c r="A389" i="1"/>
  <c r="C389" i="1"/>
  <c r="S389" i="1"/>
  <c r="T389" i="1"/>
  <c r="U389" i="1"/>
  <c r="BB389" i="1"/>
  <c r="BW389" i="1"/>
  <c r="A390" i="1"/>
  <c r="C390" i="1"/>
  <c r="S390" i="1"/>
  <c r="T390" i="1"/>
  <c r="U390" i="1"/>
  <c r="BB390" i="1"/>
  <c r="BW390" i="1"/>
  <c r="A391" i="1"/>
  <c r="C391" i="1"/>
  <c r="S391" i="1"/>
  <c r="T391" i="1"/>
  <c r="U391" i="1"/>
  <c r="BB391" i="1"/>
  <c r="BW391" i="1"/>
  <c r="A392" i="1"/>
  <c r="C392" i="1"/>
  <c r="S392" i="1"/>
  <c r="T392" i="1"/>
  <c r="U392" i="1"/>
  <c r="BB392" i="1"/>
  <c r="BW392" i="1"/>
  <c r="A393" i="1"/>
  <c r="C393" i="1"/>
  <c r="S393" i="1"/>
  <c r="T393" i="1"/>
  <c r="U393" i="1"/>
  <c r="BB393" i="1"/>
  <c r="BW393" i="1"/>
  <c r="A394" i="1"/>
  <c r="C394" i="1"/>
  <c r="S394" i="1"/>
  <c r="T394" i="1"/>
  <c r="U394" i="1"/>
  <c r="BB394" i="1"/>
  <c r="BW394" i="1"/>
  <c r="A395" i="1"/>
  <c r="C395" i="1"/>
  <c r="S395" i="1"/>
  <c r="T395" i="1"/>
  <c r="U395" i="1"/>
  <c r="BB395" i="1"/>
  <c r="BW395" i="1"/>
  <c r="A396" i="1"/>
  <c r="C396" i="1"/>
  <c r="S396" i="1"/>
  <c r="T396" i="1"/>
  <c r="U396" i="1"/>
  <c r="BB396" i="1"/>
  <c r="BW396" i="1"/>
  <c r="A397" i="1"/>
  <c r="C397" i="1"/>
  <c r="S397" i="1"/>
  <c r="T397" i="1"/>
  <c r="U397" i="1"/>
  <c r="BB397" i="1"/>
  <c r="BW397" i="1"/>
  <c r="A398" i="1"/>
  <c r="C398" i="1"/>
  <c r="S398" i="1"/>
  <c r="T398" i="1"/>
  <c r="U398" i="1"/>
  <c r="BB398" i="1"/>
  <c r="BW398" i="1"/>
  <c r="A399" i="1"/>
  <c r="C399" i="1"/>
  <c r="S399" i="1"/>
  <c r="T399" i="1"/>
  <c r="U399" i="1"/>
  <c r="BB399" i="1"/>
  <c r="BW399" i="1"/>
  <c r="A400" i="1"/>
  <c r="C400" i="1"/>
  <c r="S400" i="1"/>
  <c r="T400" i="1"/>
  <c r="U400" i="1"/>
  <c r="BB400" i="1"/>
  <c r="BW400" i="1"/>
  <c r="A401" i="1"/>
  <c r="C401" i="1"/>
  <c r="S401" i="1"/>
  <c r="T401" i="1"/>
  <c r="U401" i="1"/>
  <c r="BB401" i="1"/>
  <c r="BW401" i="1"/>
  <c r="A402" i="1"/>
  <c r="C402" i="1"/>
  <c r="S402" i="1"/>
  <c r="T402" i="1"/>
  <c r="U402" i="1"/>
  <c r="BB402" i="1"/>
  <c r="BW402" i="1"/>
  <c r="A403" i="1"/>
  <c r="C403" i="1"/>
  <c r="S403" i="1"/>
  <c r="T403" i="1"/>
  <c r="U403" i="1"/>
  <c r="BB403" i="1"/>
  <c r="BW403" i="1"/>
  <c r="A404" i="1"/>
  <c r="C404" i="1"/>
  <c r="S404" i="1"/>
  <c r="T404" i="1"/>
  <c r="U404" i="1"/>
  <c r="BB404" i="1"/>
  <c r="BW404" i="1"/>
  <c r="A405" i="1"/>
  <c r="C405" i="1"/>
  <c r="S405" i="1"/>
  <c r="T405" i="1"/>
  <c r="U405" i="1"/>
  <c r="BB405" i="1"/>
  <c r="BW405" i="1"/>
  <c r="A406" i="1"/>
  <c r="C406" i="1"/>
  <c r="S406" i="1"/>
  <c r="T406" i="1"/>
  <c r="U406" i="1"/>
  <c r="BB406" i="1"/>
  <c r="BW406" i="1"/>
  <c r="A407" i="1"/>
  <c r="C407" i="1"/>
  <c r="S407" i="1"/>
  <c r="T407" i="1"/>
  <c r="U407" i="1"/>
  <c r="BB407" i="1"/>
  <c r="BW407" i="1"/>
  <c r="A408" i="1"/>
  <c r="C408" i="1"/>
  <c r="S408" i="1"/>
  <c r="T408" i="1"/>
  <c r="U408" i="1"/>
  <c r="BB408" i="1"/>
  <c r="BW408" i="1"/>
  <c r="A409" i="1"/>
  <c r="C409" i="1"/>
  <c r="S409" i="1"/>
  <c r="T409" i="1"/>
  <c r="U409" i="1"/>
  <c r="BB409" i="1"/>
  <c r="BW409" i="1"/>
  <c r="A410" i="1"/>
  <c r="C410" i="1"/>
  <c r="S410" i="1"/>
  <c r="T410" i="1"/>
  <c r="U410" i="1"/>
  <c r="BB410" i="1"/>
  <c r="BW410" i="1"/>
  <c r="A411" i="1"/>
  <c r="C411" i="1"/>
  <c r="S411" i="1"/>
  <c r="T411" i="1"/>
  <c r="U411" i="1"/>
  <c r="BB411" i="1"/>
  <c r="BW411" i="1"/>
  <c r="A412" i="1"/>
  <c r="C412" i="1"/>
  <c r="S412" i="1"/>
  <c r="T412" i="1"/>
  <c r="U412" i="1"/>
  <c r="BB412" i="1"/>
  <c r="BW412" i="1"/>
  <c r="A413" i="1"/>
  <c r="C413" i="1"/>
  <c r="S413" i="1"/>
  <c r="T413" i="1"/>
  <c r="U413" i="1"/>
  <c r="BB413" i="1"/>
  <c r="BW413" i="1"/>
  <c r="A414" i="1"/>
  <c r="C414" i="1"/>
  <c r="S414" i="1"/>
  <c r="T414" i="1"/>
  <c r="U414" i="1"/>
  <c r="BB414" i="1"/>
  <c r="BW414" i="1"/>
  <c r="A415" i="1"/>
  <c r="C415" i="1"/>
  <c r="S415" i="1"/>
  <c r="T415" i="1"/>
  <c r="U415" i="1"/>
  <c r="BB415" i="1"/>
  <c r="BW415" i="1"/>
  <c r="A416" i="1"/>
  <c r="C416" i="1"/>
  <c r="S416" i="1"/>
  <c r="T416" i="1"/>
  <c r="U416" i="1"/>
  <c r="BB416" i="1"/>
  <c r="BW416" i="1"/>
  <c r="A417" i="1"/>
  <c r="C417" i="1"/>
  <c r="S417" i="1"/>
  <c r="T417" i="1"/>
  <c r="U417" i="1"/>
  <c r="BB417" i="1"/>
  <c r="BW417" i="1"/>
  <c r="A418" i="1"/>
  <c r="C418" i="1"/>
  <c r="S418" i="1"/>
  <c r="T418" i="1"/>
  <c r="U418" i="1"/>
  <c r="BB418" i="1"/>
  <c r="BW418" i="1"/>
  <c r="A419" i="1"/>
  <c r="C419" i="1"/>
  <c r="S419" i="1"/>
  <c r="T419" i="1"/>
  <c r="U419" i="1"/>
  <c r="BB419" i="1"/>
  <c r="BW419" i="1"/>
  <c r="A420" i="1"/>
  <c r="C420" i="1"/>
  <c r="S420" i="1"/>
  <c r="T420" i="1"/>
  <c r="U420" i="1"/>
  <c r="BB420" i="1"/>
  <c r="BW420" i="1"/>
  <c r="A421" i="1"/>
  <c r="C421" i="1"/>
  <c r="S421" i="1"/>
  <c r="T421" i="1"/>
  <c r="U421" i="1"/>
  <c r="BB421" i="1"/>
  <c r="BW421" i="1"/>
  <c r="A422" i="1"/>
  <c r="C422" i="1"/>
  <c r="S422" i="1"/>
  <c r="T422" i="1"/>
  <c r="U422" i="1"/>
  <c r="BB422" i="1"/>
  <c r="BW422" i="1"/>
  <c r="A423" i="1"/>
  <c r="C423" i="1"/>
  <c r="S423" i="1"/>
  <c r="T423" i="1"/>
  <c r="U423" i="1"/>
  <c r="BB423" i="1"/>
  <c r="BW423" i="1"/>
  <c r="A424" i="1"/>
  <c r="C424" i="1"/>
  <c r="S424" i="1"/>
  <c r="T424" i="1"/>
  <c r="U424" i="1"/>
  <c r="BB424" i="1"/>
  <c r="BW424" i="1"/>
  <c r="A425" i="1"/>
  <c r="C425" i="1"/>
  <c r="S425" i="1"/>
  <c r="T425" i="1"/>
  <c r="U425" i="1"/>
  <c r="BB425" i="1"/>
  <c r="BW425" i="1"/>
  <c r="A426" i="1"/>
  <c r="C426" i="1"/>
  <c r="S426" i="1"/>
  <c r="T426" i="1"/>
  <c r="U426" i="1"/>
  <c r="BB426" i="1"/>
  <c r="BW426" i="1"/>
  <c r="A427" i="1"/>
  <c r="C427" i="1"/>
  <c r="S427" i="1"/>
  <c r="T427" i="1"/>
  <c r="U427" i="1"/>
  <c r="BB427" i="1"/>
  <c r="BW427" i="1"/>
  <c r="A428" i="1"/>
  <c r="C428" i="1"/>
  <c r="S428" i="1"/>
  <c r="T428" i="1"/>
  <c r="U428" i="1"/>
  <c r="BB428" i="1"/>
  <c r="BW428" i="1"/>
  <c r="A429" i="1"/>
  <c r="C429" i="1"/>
  <c r="S429" i="1"/>
  <c r="T429" i="1"/>
  <c r="U429" i="1"/>
  <c r="BB429" i="1"/>
  <c r="BW429" i="1"/>
  <c r="A430" i="1"/>
  <c r="C430" i="1"/>
  <c r="S430" i="1"/>
  <c r="T430" i="1"/>
  <c r="U430" i="1"/>
  <c r="BB430" i="1"/>
  <c r="BW430" i="1"/>
  <c r="A431" i="1"/>
  <c r="C431" i="1"/>
  <c r="S431" i="1"/>
  <c r="T431" i="1"/>
  <c r="U431" i="1"/>
  <c r="BB431" i="1"/>
  <c r="BW431" i="1"/>
  <c r="A432" i="1"/>
  <c r="C432" i="1"/>
  <c r="S432" i="1"/>
  <c r="T432" i="1"/>
  <c r="U432" i="1"/>
  <c r="BB432" i="1"/>
  <c r="BW432" i="1"/>
  <c r="A433" i="1"/>
  <c r="C433" i="1"/>
  <c r="S433" i="1"/>
  <c r="T433" i="1"/>
  <c r="U433" i="1"/>
  <c r="BB433" i="1"/>
  <c r="BW433" i="1"/>
  <c r="A434" i="1"/>
  <c r="C434" i="1"/>
  <c r="S434" i="1"/>
  <c r="T434" i="1"/>
  <c r="U434" i="1"/>
  <c r="BB434" i="1"/>
  <c r="BW434" i="1"/>
  <c r="A435" i="1"/>
  <c r="C435" i="1"/>
  <c r="S435" i="1"/>
  <c r="T435" i="1"/>
  <c r="U435" i="1"/>
  <c r="BB435" i="1"/>
  <c r="BW435" i="1"/>
  <c r="A436" i="1"/>
  <c r="C436" i="1"/>
  <c r="S436" i="1"/>
  <c r="T436" i="1"/>
  <c r="U436" i="1"/>
  <c r="BB436" i="1"/>
  <c r="BW436" i="1"/>
  <c r="A437" i="1"/>
  <c r="C437" i="1"/>
  <c r="S437" i="1"/>
  <c r="T437" i="1"/>
  <c r="U437" i="1"/>
  <c r="BB437" i="1"/>
  <c r="BW437" i="1"/>
  <c r="A438" i="1"/>
  <c r="C438" i="1"/>
  <c r="S438" i="1"/>
  <c r="T438" i="1"/>
  <c r="U438" i="1"/>
  <c r="BB438" i="1"/>
  <c r="BW438" i="1"/>
  <c r="A439" i="1"/>
  <c r="C439" i="1"/>
  <c r="S439" i="1"/>
  <c r="T439" i="1"/>
  <c r="U439" i="1"/>
  <c r="BB439" i="1"/>
  <c r="BW439" i="1"/>
  <c r="A440" i="1"/>
  <c r="C440" i="1"/>
  <c r="S440" i="1"/>
  <c r="T440" i="1"/>
  <c r="U440" i="1"/>
  <c r="BB440" i="1"/>
  <c r="BW440" i="1"/>
  <c r="A441" i="1"/>
  <c r="C441" i="1"/>
  <c r="S441" i="1"/>
  <c r="T441" i="1"/>
  <c r="U441" i="1"/>
  <c r="BB441" i="1"/>
  <c r="BW441" i="1"/>
  <c r="A442" i="1"/>
  <c r="C442" i="1"/>
  <c r="S442" i="1"/>
  <c r="T442" i="1"/>
  <c r="U442" i="1"/>
  <c r="BB442" i="1"/>
  <c r="BW442" i="1"/>
  <c r="A443" i="1"/>
  <c r="C443" i="1"/>
  <c r="S443" i="1"/>
  <c r="T443" i="1"/>
  <c r="U443" i="1"/>
  <c r="BB443" i="1"/>
  <c r="BW443" i="1"/>
  <c r="A444" i="1"/>
  <c r="C444" i="1"/>
  <c r="S444" i="1"/>
  <c r="T444" i="1"/>
  <c r="U444" i="1"/>
  <c r="BB444" i="1"/>
  <c r="BW444" i="1"/>
  <c r="A445" i="1"/>
  <c r="C445" i="1"/>
  <c r="S445" i="1"/>
  <c r="T445" i="1"/>
  <c r="U445" i="1"/>
  <c r="BB445" i="1"/>
  <c r="BW445" i="1"/>
  <c r="A446" i="1"/>
  <c r="C446" i="1"/>
  <c r="S446" i="1"/>
  <c r="T446" i="1"/>
  <c r="U446" i="1"/>
  <c r="BB446" i="1"/>
  <c r="BW446" i="1"/>
  <c r="A447" i="1"/>
  <c r="C447" i="1"/>
  <c r="S447" i="1"/>
  <c r="T447" i="1"/>
  <c r="U447" i="1"/>
  <c r="BB447" i="1"/>
  <c r="BW447" i="1"/>
  <c r="A448" i="1"/>
  <c r="C448" i="1"/>
  <c r="S448" i="1"/>
  <c r="T448" i="1"/>
  <c r="U448" i="1"/>
  <c r="BB448" i="1"/>
  <c r="BW448" i="1"/>
  <c r="A449" i="1"/>
  <c r="C449" i="1"/>
  <c r="S449" i="1"/>
  <c r="T449" i="1"/>
  <c r="U449" i="1"/>
  <c r="BB449" i="1"/>
  <c r="BW449" i="1"/>
  <c r="A450" i="1"/>
  <c r="C450" i="1"/>
  <c r="S450" i="1"/>
  <c r="T450" i="1"/>
  <c r="U450" i="1"/>
  <c r="BB450" i="1"/>
  <c r="BW450" i="1"/>
  <c r="A451" i="1"/>
  <c r="C451" i="1"/>
  <c r="S451" i="1"/>
  <c r="T451" i="1"/>
  <c r="U451" i="1"/>
  <c r="BB451" i="1"/>
  <c r="BW451" i="1"/>
  <c r="A452" i="1"/>
  <c r="C452" i="1"/>
  <c r="S452" i="1"/>
  <c r="T452" i="1"/>
  <c r="U452" i="1"/>
  <c r="BB452" i="1"/>
  <c r="BW452" i="1"/>
  <c r="A453" i="1"/>
  <c r="C453" i="1"/>
  <c r="S453" i="1"/>
  <c r="T453" i="1"/>
  <c r="U453" i="1"/>
  <c r="BB453" i="1"/>
  <c r="BW453" i="1"/>
  <c r="A454" i="1"/>
  <c r="C454" i="1"/>
  <c r="S454" i="1"/>
  <c r="T454" i="1"/>
  <c r="U454" i="1"/>
  <c r="BB454" i="1"/>
  <c r="BW454" i="1"/>
  <c r="A455" i="1"/>
  <c r="C455" i="1"/>
  <c r="S455" i="1"/>
  <c r="T455" i="1"/>
  <c r="U455" i="1"/>
  <c r="BB455" i="1"/>
  <c r="BW455" i="1"/>
  <c r="A456" i="1"/>
  <c r="C456" i="1"/>
  <c r="S456" i="1"/>
  <c r="T456" i="1"/>
  <c r="U456" i="1"/>
  <c r="BB456" i="1"/>
  <c r="BW456" i="1"/>
  <c r="A457" i="1"/>
  <c r="C457" i="1"/>
  <c r="S457" i="1"/>
  <c r="T457" i="1"/>
  <c r="U457" i="1"/>
  <c r="BB457" i="1"/>
  <c r="BW457" i="1"/>
  <c r="A458" i="1"/>
  <c r="C458" i="1"/>
  <c r="S458" i="1"/>
  <c r="T458" i="1"/>
  <c r="U458" i="1"/>
  <c r="BB458" i="1"/>
  <c r="BW458" i="1"/>
  <c r="A459" i="1"/>
  <c r="C459" i="1"/>
  <c r="S459" i="1"/>
  <c r="T459" i="1"/>
  <c r="U459" i="1"/>
  <c r="BB459" i="1"/>
  <c r="BW459" i="1"/>
  <c r="A460" i="1"/>
  <c r="C460" i="1"/>
  <c r="S460" i="1"/>
  <c r="T460" i="1"/>
  <c r="U460" i="1"/>
  <c r="BB460" i="1"/>
  <c r="BW460" i="1"/>
  <c r="A461" i="1"/>
  <c r="C461" i="1"/>
  <c r="S461" i="1"/>
  <c r="T461" i="1"/>
  <c r="U461" i="1"/>
  <c r="BB461" i="1"/>
  <c r="BW461" i="1"/>
  <c r="A462" i="1"/>
  <c r="C462" i="1"/>
  <c r="S462" i="1"/>
  <c r="T462" i="1"/>
  <c r="U462" i="1"/>
  <c r="BB462" i="1"/>
  <c r="BW462" i="1"/>
  <c r="A463" i="1"/>
  <c r="C463" i="1"/>
  <c r="S463" i="1"/>
  <c r="T463" i="1"/>
  <c r="U463" i="1"/>
  <c r="BB463" i="1"/>
  <c r="BW463" i="1"/>
  <c r="A464" i="1"/>
  <c r="C464" i="1"/>
  <c r="S464" i="1"/>
  <c r="T464" i="1"/>
  <c r="U464" i="1"/>
  <c r="BB464" i="1"/>
  <c r="BW464" i="1"/>
  <c r="A465" i="1"/>
  <c r="C465" i="1"/>
  <c r="S465" i="1"/>
  <c r="T465" i="1"/>
  <c r="U465" i="1"/>
  <c r="BB465" i="1"/>
  <c r="BW465" i="1"/>
  <c r="A466" i="1"/>
  <c r="C466" i="1"/>
  <c r="S466" i="1"/>
  <c r="T466" i="1"/>
  <c r="U466" i="1"/>
  <c r="BB466" i="1"/>
  <c r="BW466" i="1"/>
  <c r="A467" i="1"/>
  <c r="C467" i="1"/>
  <c r="S467" i="1"/>
  <c r="T467" i="1"/>
  <c r="U467" i="1"/>
  <c r="BB467" i="1"/>
  <c r="BW467" i="1"/>
  <c r="A468" i="1"/>
  <c r="C468" i="1"/>
  <c r="S468" i="1"/>
  <c r="T468" i="1"/>
  <c r="U468" i="1"/>
  <c r="BB468" i="1"/>
  <c r="BW468" i="1"/>
  <c r="A469" i="1"/>
  <c r="C469" i="1"/>
  <c r="S469" i="1"/>
  <c r="T469" i="1"/>
  <c r="U469" i="1"/>
  <c r="BB469" i="1"/>
  <c r="BW469" i="1"/>
  <c r="A470" i="1"/>
  <c r="C470" i="1"/>
  <c r="S470" i="1"/>
  <c r="T470" i="1"/>
  <c r="U470" i="1"/>
  <c r="BB470" i="1"/>
  <c r="BW470" i="1"/>
  <c r="A471" i="1"/>
  <c r="C471" i="1"/>
  <c r="S471" i="1"/>
  <c r="T471" i="1"/>
  <c r="U471" i="1"/>
  <c r="BB471" i="1"/>
  <c r="BW471" i="1"/>
  <c r="A472" i="1"/>
  <c r="C472" i="1"/>
  <c r="S472" i="1"/>
  <c r="T472" i="1"/>
  <c r="U472" i="1"/>
  <c r="BB472" i="1"/>
  <c r="BW472" i="1"/>
  <c r="A473" i="1"/>
  <c r="C473" i="1"/>
  <c r="S473" i="1"/>
  <c r="T473" i="1"/>
  <c r="U473" i="1"/>
  <c r="BB473" i="1"/>
  <c r="BW473" i="1"/>
  <c r="A474" i="1"/>
  <c r="C474" i="1"/>
  <c r="S474" i="1"/>
  <c r="T474" i="1"/>
  <c r="U474" i="1"/>
  <c r="BB474" i="1"/>
  <c r="BW474" i="1"/>
  <c r="A475" i="1"/>
  <c r="C475" i="1"/>
  <c r="S475" i="1"/>
  <c r="T475" i="1"/>
  <c r="U475" i="1"/>
  <c r="BB475" i="1"/>
  <c r="BW475" i="1"/>
  <c r="A476" i="1"/>
  <c r="C476" i="1"/>
  <c r="S476" i="1"/>
  <c r="T476" i="1"/>
  <c r="U476" i="1"/>
  <c r="BB476" i="1"/>
  <c r="BW476" i="1"/>
  <c r="A477" i="1"/>
  <c r="C477" i="1"/>
  <c r="S477" i="1"/>
  <c r="T477" i="1"/>
  <c r="U477" i="1"/>
  <c r="BB477" i="1"/>
  <c r="BW477" i="1"/>
  <c r="A478" i="1"/>
  <c r="C478" i="1"/>
  <c r="S478" i="1"/>
  <c r="T478" i="1"/>
  <c r="U478" i="1"/>
  <c r="BB478" i="1"/>
  <c r="BW478" i="1"/>
  <c r="A479" i="1"/>
  <c r="C479" i="1"/>
  <c r="S479" i="1"/>
  <c r="T479" i="1"/>
  <c r="U479" i="1"/>
  <c r="BB479" i="1"/>
  <c r="BW479" i="1"/>
  <c r="A480" i="1"/>
  <c r="C480" i="1"/>
  <c r="S480" i="1"/>
  <c r="T480" i="1"/>
  <c r="U480" i="1"/>
  <c r="BB480" i="1"/>
  <c r="BW480" i="1"/>
  <c r="A481" i="1"/>
  <c r="C481" i="1"/>
  <c r="S481" i="1"/>
  <c r="T481" i="1"/>
  <c r="U481" i="1"/>
  <c r="BB481" i="1"/>
  <c r="BW481" i="1"/>
  <c r="A482" i="1"/>
  <c r="C482" i="1"/>
  <c r="S482" i="1"/>
  <c r="T482" i="1"/>
  <c r="U482" i="1"/>
  <c r="BB482" i="1"/>
  <c r="BW482" i="1"/>
  <c r="A483" i="1"/>
  <c r="C483" i="1"/>
  <c r="S483" i="1"/>
  <c r="T483" i="1"/>
  <c r="U483" i="1"/>
  <c r="BB483" i="1"/>
  <c r="BW483" i="1"/>
  <c r="A484" i="1"/>
  <c r="C484" i="1"/>
  <c r="S484" i="1"/>
  <c r="T484" i="1"/>
  <c r="U484" i="1"/>
  <c r="BB484" i="1"/>
  <c r="BW484" i="1"/>
  <c r="A485" i="1"/>
  <c r="C485" i="1"/>
  <c r="S485" i="1"/>
  <c r="T485" i="1"/>
  <c r="U485" i="1"/>
  <c r="BB485" i="1"/>
  <c r="BW485" i="1"/>
  <c r="A486" i="1"/>
  <c r="C486" i="1"/>
  <c r="S486" i="1"/>
  <c r="T486" i="1"/>
  <c r="U486" i="1"/>
  <c r="BB486" i="1"/>
  <c r="BW486" i="1"/>
  <c r="A487" i="1"/>
  <c r="C487" i="1"/>
  <c r="S487" i="1"/>
  <c r="T487" i="1"/>
  <c r="U487" i="1"/>
  <c r="BB487" i="1"/>
  <c r="BW487" i="1"/>
  <c r="A488" i="1"/>
  <c r="C488" i="1"/>
  <c r="S488" i="1"/>
  <c r="T488" i="1"/>
  <c r="U488" i="1"/>
  <c r="BB488" i="1"/>
  <c r="BW488" i="1"/>
  <c r="A489" i="1"/>
  <c r="C489" i="1"/>
  <c r="S489" i="1"/>
  <c r="T489" i="1"/>
  <c r="U489" i="1"/>
  <c r="BB489" i="1"/>
  <c r="BW489" i="1"/>
  <c r="A490" i="1"/>
  <c r="C490" i="1"/>
  <c r="S490" i="1"/>
  <c r="T490" i="1"/>
  <c r="U490" i="1"/>
  <c r="BB490" i="1"/>
  <c r="BW490" i="1"/>
  <c r="A491" i="1"/>
  <c r="C491" i="1"/>
  <c r="S491" i="1"/>
  <c r="T491" i="1"/>
  <c r="U491" i="1"/>
  <c r="BB491" i="1"/>
  <c r="BW491" i="1"/>
  <c r="A492" i="1"/>
  <c r="C492" i="1"/>
  <c r="S492" i="1"/>
  <c r="T492" i="1"/>
  <c r="U492" i="1"/>
  <c r="BB492" i="1"/>
  <c r="BW492" i="1"/>
  <c r="A493" i="1"/>
  <c r="C493" i="1"/>
  <c r="S493" i="1"/>
  <c r="T493" i="1"/>
  <c r="U493" i="1"/>
  <c r="BB493" i="1"/>
  <c r="BW493" i="1"/>
  <c r="A494" i="1"/>
  <c r="C494" i="1"/>
  <c r="S494" i="1"/>
  <c r="T494" i="1"/>
  <c r="U494" i="1"/>
  <c r="BB494" i="1"/>
  <c r="BW494" i="1"/>
  <c r="A495" i="1"/>
  <c r="C495" i="1"/>
  <c r="S495" i="1"/>
  <c r="T495" i="1"/>
  <c r="U495" i="1"/>
  <c r="BB495" i="1"/>
  <c r="BW495" i="1"/>
  <c r="A496" i="1"/>
  <c r="C496" i="1"/>
  <c r="S496" i="1"/>
  <c r="T496" i="1"/>
  <c r="U496" i="1"/>
  <c r="BB496" i="1"/>
  <c r="BW496" i="1"/>
  <c r="A497" i="1"/>
  <c r="C497" i="1"/>
  <c r="S497" i="1"/>
  <c r="T497" i="1"/>
  <c r="U497" i="1"/>
  <c r="BB497" i="1"/>
  <c r="BW497" i="1"/>
  <c r="A498" i="1"/>
  <c r="C498" i="1"/>
  <c r="S498" i="1"/>
  <c r="T498" i="1"/>
  <c r="U498" i="1"/>
  <c r="BB498" i="1"/>
  <c r="BW498" i="1"/>
  <c r="A499" i="1"/>
  <c r="C499" i="1"/>
  <c r="S499" i="1"/>
  <c r="T499" i="1"/>
  <c r="U499" i="1"/>
  <c r="BB499" i="1"/>
  <c r="BW499" i="1"/>
  <c r="A500" i="1"/>
  <c r="C500" i="1"/>
  <c r="S500" i="1"/>
  <c r="T500" i="1"/>
  <c r="U500" i="1"/>
  <c r="BB500" i="1"/>
  <c r="BW500" i="1"/>
  <c r="A501" i="1"/>
  <c r="C501" i="1"/>
  <c r="S501" i="1"/>
  <c r="T501" i="1"/>
  <c r="U501" i="1"/>
  <c r="BB501" i="1"/>
  <c r="BW501" i="1"/>
  <c r="A502" i="1"/>
  <c r="C502" i="1"/>
  <c r="S502" i="1"/>
  <c r="T502" i="1"/>
  <c r="U502" i="1"/>
  <c r="BB502" i="1"/>
  <c r="BW502" i="1"/>
  <c r="A503" i="1"/>
  <c r="C503" i="1"/>
  <c r="S503" i="1"/>
  <c r="T503" i="1"/>
  <c r="U503" i="1"/>
  <c r="BB503" i="1"/>
  <c r="BW503" i="1"/>
  <c r="A504" i="1"/>
  <c r="C504" i="1"/>
  <c r="S504" i="1"/>
  <c r="T504" i="1"/>
  <c r="U504" i="1"/>
  <c r="BB504" i="1"/>
  <c r="BW504" i="1"/>
  <c r="A505" i="1"/>
  <c r="C505" i="1"/>
  <c r="S505" i="1"/>
  <c r="T505" i="1"/>
  <c r="U505" i="1"/>
  <c r="BB505" i="1"/>
  <c r="BW505" i="1"/>
  <c r="A506" i="1"/>
  <c r="C506" i="1"/>
  <c r="S506" i="1"/>
  <c r="T506" i="1"/>
  <c r="U506" i="1"/>
  <c r="BB506" i="1"/>
  <c r="BW506" i="1"/>
  <c r="A507" i="1"/>
  <c r="C507" i="1"/>
  <c r="S507" i="1"/>
  <c r="T507" i="1"/>
  <c r="U507" i="1"/>
  <c r="BB507" i="1"/>
  <c r="BW507" i="1"/>
  <c r="A508" i="1"/>
  <c r="C508" i="1"/>
  <c r="S508" i="1"/>
  <c r="T508" i="1"/>
  <c r="U508" i="1"/>
  <c r="BB508" i="1"/>
  <c r="BW508" i="1"/>
  <c r="A509" i="1"/>
  <c r="C509" i="1"/>
  <c r="S509" i="1"/>
  <c r="T509" i="1"/>
  <c r="U509" i="1"/>
  <c r="BB509" i="1"/>
  <c r="BW509" i="1"/>
  <c r="A510" i="1"/>
  <c r="C510" i="1"/>
  <c r="S510" i="1"/>
  <c r="T510" i="1"/>
  <c r="U510" i="1"/>
  <c r="BB510" i="1"/>
  <c r="BW510" i="1"/>
  <c r="A511" i="1"/>
  <c r="C511" i="1"/>
  <c r="S511" i="1"/>
  <c r="T511" i="1"/>
  <c r="U511" i="1"/>
  <c r="BB511" i="1"/>
  <c r="BW511" i="1"/>
  <c r="A512" i="1"/>
  <c r="C512" i="1"/>
  <c r="S512" i="1"/>
  <c r="T512" i="1"/>
  <c r="U512" i="1"/>
  <c r="BB512" i="1"/>
  <c r="BW512" i="1"/>
  <c r="A513" i="1"/>
  <c r="C513" i="1"/>
  <c r="S513" i="1"/>
  <c r="T513" i="1"/>
  <c r="U513" i="1"/>
  <c r="BB513" i="1"/>
  <c r="BW513" i="1"/>
  <c r="A514" i="1"/>
  <c r="C514" i="1"/>
  <c r="S514" i="1"/>
  <c r="T514" i="1"/>
  <c r="U514" i="1"/>
  <c r="BB514" i="1"/>
  <c r="BW514" i="1"/>
  <c r="A515" i="1"/>
  <c r="C515" i="1"/>
  <c r="S515" i="1"/>
  <c r="T515" i="1"/>
  <c r="U515" i="1"/>
  <c r="BB515" i="1"/>
  <c r="BW515" i="1"/>
  <c r="A516" i="1"/>
  <c r="C516" i="1"/>
  <c r="S516" i="1"/>
  <c r="T516" i="1"/>
  <c r="U516" i="1"/>
  <c r="BB516" i="1"/>
  <c r="BW516" i="1"/>
  <c r="A517" i="1"/>
  <c r="C517" i="1"/>
  <c r="S517" i="1"/>
  <c r="T517" i="1"/>
  <c r="U517" i="1"/>
  <c r="BB517" i="1"/>
  <c r="BW517" i="1"/>
  <c r="A518" i="1"/>
  <c r="C518" i="1"/>
  <c r="S518" i="1"/>
  <c r="T518" i="1"/>
  <c r="U518" i="1"/>
  <c r="BB518" i="1"/>
  <c r="BW518" i="1"/>
  <c r="A519" i="1"/>
  <c r="C519" i="1"/>
  <c r="S519" i="1"/>
  <c r="T519" i="1"/>
  <c r="U519" i="1"/>
  <c r="BB519" i="1"/>
  <c r="BW519" i="1"/>
  <c r="A520" i="1"/>
  <c r="C520" i="1"/>
  <c r="S520" i="1"/>
  <c r="T520" i="1"/>
  <c r="U520" i="1"/>
  <c r="BB520" i="1"/>
  <c r="BW520" i="1"/>
  <c r="A521" i="1"/>
  <c r="C521" i="1"/>
  <c r="S521" i="1"/>
  <c r="T521" i="1"/>
  <c r="U521" i="1"/>
  <c r="BB521" i="1"/>
  <c r="BW521" i="1"/>
  <c r="A522" i="1"/>
  <c r="C522" i="1"/>
  <c r="S522" i="1"/>
  <c r="T522" i="1"/>
  <c r="U522" i="1"/>
  <c r="BB522" i="1"/>
  <c r="BW522" i="1"/>
  <c r="A523" i="1"/>
  <c r="C523" i="1"/>
  <c r="S523" i="1"/>
  <c r="T523" i="1"/>
  <c r="U523" i="1"/>
  <c r="BB523" i="1"/>
  <c r="BW523" i="1"/>
  <c r="A524" i="1"/>
  <c r="C524" i="1"/>
  <c r="S524" i="1"/>
  <c r="T524" i="1"/>
  <c r="U524" i="1"/>
  <c r="BB524" i="1"/>
  <c r="BW524" i="1"/>
  <c r="A525" i="1"/>
  <c r="C525" i="1"/>
  <c r="S525" i="1"/>
  <c r="T525" i="1"/>
  <c r="U525" i="1"/>
  <c r="BB525" i="1"/>
  <c r="BW525" i="1"/>
  <c r="A526" i="1"/>
  <c r="C526" i="1"/>
  <c r="S526" i="1"/>
  <c r="T526" i="1"/>
  <c r="U526" i="1"/>
  <c r="BB526" i="1"/>
  <c r="BW526" i="1"/>
  <c r="A527" i="1"/>
  <c r="C527" i="1"/>
  <c r="S527" i="1"/>
  <c r="T527" i="1"/>
  <c r="U527" i="1"/>
  <c r="BB527" i="1"/>
  <c r="BW527" i="1"/>
  <c r="A528" i="1"/>
  <c r="C528" i="1"/>
  <c r="S528" i="1"/>
  <c r="T528" i="1"/>
  <c r="U528" i="1"/>
  <c r="BB528" i="1"/>
  <c r="BW528" i="1"/>
  <c r="A529" i="1"/>
  <c r="C529" i="1"/>
  <c r="S529" i="1"/>
  <c r="T529" i="1"/>
  <c r="U529" i="1"/>
  <c r="BB529" i="1"/>
  <c r="BW529" i="1"/>
  <c r="A530" i="1"/>
  <c r="C530" i="1"/>
  <c r="S530" i="1"/>
  <c r="T530" i="1"/>
  <c r="U530" i="1"/>
  <c r="BB530" i="1"/>
  <c r="BW530" i="1"/>
  <c r="A531" i="1"/>
  <c r="C531" i="1"/>
  <c r="S531" i="1"/>
  <c r="T531" i="1"/>
  <c r="U531" i="1"/>
  <c r="BB531" i="1"/>
  <c r="BW531" i="1"/>
  <c r="A532" i="1"/>
  <c r="C532" i="1"/>
  <c r="S532" i="1"/>
  <c r="T532" i="1"/>
  <c r="U532" i="1"/>
  <c r="BB532" i="1"/>
  <c r="BW532" i="1"/>
  <c r="A533" i="1"/>
  <c r="C533" i="1"/>
  <c r="S533" i="1"/>
  <c r="T533" i="1"/>
  <c r="U533" i="1"/>
  <c r="BB533" i="1"/>
  <c r="BW533" i="1"/>
  <c r="A534" i="1"/>
  <c r="C534" i="1"/>
  <c r="S534" i="1"/>
  <c r="T534" i="1"/>
  <c r="U534" i="1"/>
  <c r="BB534" i="1"/>
  <c r="BW534" i="1"/>
  <c r="A535" i="1"/>
  <c r="C535" i="1"/>
  <c r="S535" i="1"/>
  <c r="T535" i="1"/>
  <c r="U535" i="1"/>
  <c r="BB535" i="1"/>
  <c r="BW535" i="1"/>
  <c r="A536" i="1"/>
  <c r="C536" i="1"/>
  <c r="S536" i="1"/>
  <c r="T536" i="1"/>
  <c r="U536" i="1"/>
  <c r="BB536" i="1"/>
  <c r="BW536" i="1"/>
  <c r="A537" i="1"/>
  <c r="C537" i="1"/>
  <c r="S537" i="1"/>
  <c r="T537" i="1"/>
  <c r="U537" i="1"/>
  <c r="BB537" i="1"/>
  <c r="BW537" i="1"/>
  <c r="A538" i="1"/>
  <c r="C538" i="1"/>
  <c r="S538" i="1"/>
  <c r="T538" i="1"/>
  <c r="U538" i="1"/>
  <c r="BB538" i="1"/>
  <c r="BW538" i="1"/>
  <c r="A539" i="1"/>
  <c r="C539" i="1"/>
  <c r="S539" i="1"/>
  <c r="T539" i="1"/>
  <c r="U539" i="1"/>
  <c r="BB539" i="1"/>
  <c r="BW539" i="1"/>
  <c r="A540" i="1"/>
  <c r="C540" i="1"/>
  <c r="S540" i="1"/>
  <c r="T540" i="1"/>
  <c r="U540" i="1"/>
  <c r="BB540" i="1"/>
  <c r="BW540" i="1"/>
  <c r="A541" i="1"/>
  <c r="C541" i="1"/>
  <c r="S541" i="1"/>
  <c r="T541" i="1"/>
  <c r="U541" i="1"/>
  <c r="BB541" i="1"/>
  <c r="BW541" i="1"/>
  <c r="A542" i="1"/>
  <c r="C542" i="1"/>
  <c r="S542" i="1"/>
  <c r="T542" i="1"/>
  <c r="U542" i="1"/>
  <c r="BB542" i="1"/>
  <c r="BW542" i="1"/>
  <c r="A543" i="1"/>
  <c r="C543" i="1"/>
  <c r="S543" i="1"/>
  <c r="T543" i="1"/>
  <c r="U543" i="1"/>
  <c r="BB543" i="1"/>
  <c r="BW543" i="1"/>
  <c r="A544" i="1"/>
  <c r="C544" i="1"/>
  <c r="S544" i="1"/>
  <c r="T544" i="1"/>
  <c r="U544" i="1"/>
  <c r="BB544" i="1"/>
  <c r="BW544" i="1"/>
  <c r="A545" i="1"/>
  <c r="C545" i="1"/>
  <c r="S545" i="1"/>
  <c r="T545" i="1"/>
  <c r="U545" i="1"/>
  <c r="BB545" i="1"/>
  <c r="BW545" i="1"/>
  <c r="A546" i="1"/>
  <c r="C546" i="1"/>
  <c r="S546" i="1"/>
  <c r="T546" i="1"/>
  <c r="U546" i="1"/>
  <c r="BB546" i="1"/>
  <c r="BW546" i="1"/>
  <c r="A547" i="1"/>
  <c r="C547" i="1"/>
  <c r="S547" i="1"/>
  <c r="T547" i="1"/>
  <c r="U547" i="1"/>
  <c r="BB547" i="1"/>
  <c r="BW547" i="1"/>
  <c r="A548" i="1"/>
  <c r="C548" i="1"/>
  <c r="S548" i="1"/>
  <c r="T548" i="1"/>
  <c r="U548" i="1"/>
  <c r="BB548" i="1"/>
  <c r="BW548" i="1"/>
  <c r="A549" i="1"/>
  <c r="C549" i="1"/>
  <c r="S549" i="1"/>
  <c r="T549" i="1"/>
  <c r="U549" i="1"/>
  <c r="BB549" i="1"/>
  <c r="BW549" i="1"/>
  <c r="A550" i="1"/>
  <c r="C550" i="1"/>
  <c r="S550" i="1"/>
  <c r="T550" i="1"/>
  <c r="U550" i="1"/>
  <c r="BB550" i="1"/>
  <c r="BW550" i="1"/>
  <c r="A551" i="1"/>
  <c r="C551" i="1"/>
  <c r="S551" i="1"/>
  <c r="T551" i="1"/>
  <c r="U551" i="1"/>
  <c r="BB551" i="1"/>
  <c r="BW551" i="1"/>
  <c r="A552" i="1"/>
  <c r="C552" i="1"/>
  <c r="S552" i="1"/>
  <c r="T552" i="1"/>
  <c r="U552" i="1"/>
  <c r="BB552" i="1"/>
  <c r="BW552" i="1"/>
  <c r="A553" i="1"/>
  <c r="C553" i="1"/>
  <c r="S553" i="1"/>
  <c r="T553" i="1"/>
  <c r="U553" i="1"/>
  <c r="BB553" i="1"/>
  <c r="BW553" i="1"/>
  <c r="A554" i="1"/>
  <c r="C554" i="1"/>
  <c r="S554" i="1"/>
  <c r="T554" i="1"/>
  <c r="U554" i="1"/>
  <c r="BB554" i="1"/>
  <c r="BW554" i="1"/>
  <c r="A555" i="1"/>
  <c r="C555" i="1"/>
  <c r="S555" i="1"/>
  <c r="T555" i="1"/>
  <c r="U555" i="1"/>
  <c r="BB555" i="1"/>
  <c r="BW555" i="1"/>
  <c r="A556" i="1"/>
  <c r="C556" i="1"/>
  <c r="S556" i="1"/>
  <c r="T556" i="1"/>
  <c r="U556" i="1"/>
  <c r="BB556" i="1"/>
  <c r="BW556" i="1"/>
  <c r="A557" i="1"/>
  <c r="C557" i="1"/>
  <c r="S557" i="1"/>
  <c r="T557" i="1"/>
  <c r="U557" i="1"/>
  <c r="BB557" i="1"/>
  <c r="BW557" i="1"/>
  <c r="A558" i="1"/>
  <c r="C558" i="1"/>
  <c r="S558" i="1"/>
  <c r="T558" i="1"/>
  <c r="U558" i="1"/>
  <c r="BB558" i="1"/>
  <c r="BW558" i="1"/>
  <c r="A559" i="1"/>
  <c r="C559" i="1"/>
  <c r="S559" i="1"/>
  <c r="T559" i="1"/>
  <c r="U559" i="1"/>
  <c r="BB559" i="1"/>
  <c r="BW559" i="1"/>
  <c r="A560" i="1"/>
  <c r="C560" i="1"/>
  <c r="S560" i="1"/>
  <c r="T560" i="1"/>
  <c r="U560" i="1"/>
  <c r="BB560" i="1"/>
  <c r="BW560" i="1"/>
  <c r="A561" i="1"/>
  <c r="C561" i="1"/>
  <c r="S561" i="1"/>
  <c r="T561" i="1"/>
  <c r="U561" i="1"/>
  <c r="BB561" i="1"/>
  <c r="BW561" i="1"/>
  <c r="A562" i="1"/>
  <c r="C562" i="1"/>
  <c r="S562" i="1"/>
  <c r="T562" i="1"/>
  <c r="U562" i="1"/>
  <c r="BB562" i="1"/>
  <c r="BW562" i="1"/>
  <c r="A563" i="1"/>
  <c r="C563" i="1"/>
  <c r="S563" i="1"/>
  <c r="T563" i="1"/>
  <c r="U563" i="1"/>
  <c r="BB563" i="1"/>
  <c r="BW563" i="1"/>
  <c r="A564" i="1"/>
  <c r="C564" i="1"/>
  <c r="S564" i="1"/>
  <c r="T564" i="1"/>
  <c r="U564" i="1"/>
  <c r="BB564" i="1"/>
  <c r="BW564" i="1"/>
  <c r="A565" i="1"/>
  <c r="C565" i="1"/>
  <c r="S565" i="1"/>
  <c r="T565" i="1"/>
  <c r="U565" i="1"/>
  <c r="BB565" i="1"/>
  <c r="BW565" i="1"/>
  <c r="A566" i="1"/>
  <c r="C566" i="1"/>
  <c r="S566" i="1"/>
  <c r="T566" i="1"/>
  <c r="U566" i="1"/>
  <c r="BB566" i="1"/>
  <c r="BW566" i="1"/>
  <c r="A567" i="1"/>
  <c r="C567" i="1"/>
  <c r="S567" i="1"/>
  <c r="T567" i="1"/>
  <c r="U567" i="1"/>
  <c r="BB567" i="1"/>
  <c r="BW567" i="1"/>
  <c r="A568" i="1"/>
  <c r="C568" i="1"/>
  <c r="S568" i="1"/>
  <c r="T568" i="1"/>
  <c r="U568" i="1"/>
  <c r="BB568" i="1"/>
  <c r="BW568" i="1"/>
  <c r="A569" i="1"/>
  <c r="C569" i="1"/>
  <c r="S569" i="1"/>
  <c r="T569" i="1"/>
  <c r="U569" i="1"/>
  <c r="BB569" i="1"/>
  <c r="BW569" i="1"/>
  <c r="A570" i="1"/>
  <c r="C570" i="1"/>
  <c r="S570" i="1"/>
  <c r="T570" i="1"/>
  <c r="U570" i="1"/>
  <c r="BB570" i="1"/>
  <c r="BW570" i="1"/>
  <c r="A571" i="1"/>
  <c r="C571" i="1"/>
  <c r="S571" i="1"/>
  <c r="T571" i="1"/>
  <c r="U571" i="1"/>
  <c r="BB571" i="1"/>
  <c r="BW571" i="1"/>
  <c r="A572" i="1"/>
  <c r="C572" i="1"/>
  <c r="S572" i="1"/>
  <c r="T572" i="1"/>
  <c r="U572" i="1"/>
  <c r="BB572" i="1"/>
  <c r="BW572" i="1"/>
  <c r="A573" i="1"/>
  <c r="C573" i="1"/>
  <c r="S573" i="1"/>
  <c r="T573" i="1"/>
  <c r="U573" i="1"/>
  <c r="BB573" i="1"/>
  <c r="BW573" i="1"/>
  <c r="A574" i="1"/>
  <c r="C574" i="1"/>
  <c r="S574" i="1"/>
  <c r="T574" i="1"/>
  <c r="U574" i="1"/>
  <c r="BB574" i="1"/>
  <c r="BW574" i="1"/>
  <c r="A575" i="1"/>
  <c r="C575" i="1"/>
  <c r="S575" i="1"/>
  <c r="T575" i="1"/>
  <c r="U575" i="1"/>
  <c r="BB575" i="1"/>
  <c r="BW575" i="1"/>
  <c r="A576" i="1"/>
  <c r="C576" i="1"/>
  <c r="S576" i="1"/>
  <c r="T576" i="1"/>
  <c r="U576" i="1"/>
  <c r="BB576" i="1"/>
  <c r="BW576" i="1"/>
  <c r="A577" i="1"/>
  <c r="C577" i="1"/>
  <c r="S577" i="1"/>
  <c r="T577" i="1"/>
  <c r="U577" i="1"/>
  <c r="BB577" i="1"/>
  <c r="BW577" i="1"/>
  <c r="A578" i="1"/>
  <c r="C578" i="1"/>
  <c r="S578" i="1"/>
  <c r="T578" i="1"/>
  <c r="U578" i="1"/>
  <c r="BB578" i="1"/>
  <c r="BW578" i="1"/>
  <c r="A579" i="1"/>
  <c r="C579" i="1"/>
  <c r="S579" i="1"/>
  <c r="T579" i="1"/>
  <c r="U579" i="1"/>
  <c r="BB579" i="1"/>
  <c r="BW579" i="1"/>
  <c r="A580" i="1"/>
  <c r="C580" i="1"/>
  <c r="S580" i="1"/>
  <c r="T580" i="1"/>
  <c r="U580" i="1"/>
  <c r="BB580" i="1"/>
  <c r="BW580" i="1"/>
  <c r="A581" i="1"/>
  <c r="C581" i="1"/>
  <c r="S581" i="1"/>
  <c r="T581" i="1"/>
  <c r="U581" i="1"/>
  <c r="BB581" i="1"/>
  <c r="BW581" i="1"/>
  <c r="A582" i="1"/>
  <c r="C582" i="1"/>
  <c r="S582" i="1"/>
  <c r="T582" i="1"/>
  <c r="U582" i="1"/>
  <c r="BB582" i="1"/>
  <c r="BW582" i="1"/>
  <c r="A583" i="1"/>
  <c r="C583" i="1"/>
  <c r="S583" i="1"/>
  <c r="T583" i="1"/>
  <c r="U583" i="1"/>
  <c r="BB583" i="1"/>
  <c r="BW583" i="1"/>
  <c r="A584" i="1"/>
  <c r="C584" i="1"/>
  <c r="S584" i="1"/>
  <c r="T584" i="1"/>
  <c r="U584" i="1"/>
  <c r="BB584" i="1"/>
  <c r="BW584" i="1"/>
  <c r="A585" i="1"/>
  <c r="C585" i="1"/>
  <c r="S585" i="1"/>
  <c r="T585" i="1"/>
  <c r="U585" i="1"/>
  <c r="BB585" i="1"/>
  <c r="BW585" i="1"/>
  <c r="A586" i="1"/>
  <c r="C586" i="1"/>
  <c r="S586" i="1"/>
  <c r="T586" i="1"/>
  <c r="U586" i="1"/>
  <c r="BB586" i="1"/>
  <c r="BW586" i="1"/>
  <c r="A587" i="1"/>
  <c r="C587" i="1"/>
  <c r="S587" i="1"/>
  <c r="T587" i="1"/>
  <c r="U587" i="1"/>
  <c r="BB587" i="1"/>
  <c r="BW587" i="1"/>
  <c r="A588" i="1"/>
  <c r="C588" i="1"/>
  <c r="S588" i="1"/>
  <c r="T588" i="1"/>
  <c r="U588" i="1"/>
  <c r="BB588" i="1"/>
  <c r="BW588" i="1"/>
  <c r="A589" i="1"/>
  <c r="C589" i="1"/>
  <c r="S589" i="1"/>
  <c r="T589" i="1"/>
  <c r="U589" i="1"/>
  <c r="BB589" i="1"/>
  <c r="BW589" i="1"/>
  <c r="A590" i="1"/>
  <c r="C590" i="1"/>
  <c r="S590" i="1"/>
  <c r="T590" i="1"/>
  <c r="U590" i="1"/>
  <c r="BB590" i="1"/>
  <c r="BW590" i="1"/>
  <c r="A591" i="1"/>
  <c r="C591" i="1"/>
  <c r="S591" i="1"/>
  <c r="T591" i="1"/>
  <c r="U591" i="1"/>
  <c r="BB591" i="1"/>
  <c r="BW591" i="1"/>
  <c r="A592" i="1"/>
  <c r="C592" i="1"/>
  <c r="S592" i="1"/>
  <c r="T592" i="1"/>
  <c r="U592" i="1"/>
  <c r="BB592" i="1"/>
  <c r="BW592" i="1"/>
  <c r="A593" i="1"/>
  <c r="C593" i="1"/>
  <c r="S593" i="1"/>
  <c r="T593" i="1"/>
  <c r="U593" i="1"/>
  <c r="BB593" i="1"/>
  <c r="BW593" i="1"/>
  <c r="A594" i="1"/>
  <c r="C594" i="1"/>
  <c r="S594" i="1"/>
  <c r="T594" i="1"/>
  <c r="U594" i="1"/>
  <c r="BB594" i="1"/>
  <c r="BW594" i="1"/>
  <c r="A595" i="1"/>
  <c r="C595" i="1"/>
  <c r="S595" i="1"/>
  <c r="T595" i="1"/>
  <c r="U595" i="1"/>
  <c r="BB595" i="1"/>
  <c r="BW595" i="1"/>
  <c r="A596" i="1"/>
  <c r="C596" i="1"/>
  <c r="S596" i="1"/>
  <c r="T596" i="1"/>
  <c r="U596" i="1"/>
  <c r="BB596" i="1"/>
  <c r="BW596" i="1"/>
  <c r="A597" i="1"/>
  <c r="C597" i="1"/>
  <c r="S597" i="1"/>
  <c r="T597" i="1"/>
  <c r="U597" i="1"/>
  <c r="BB597" i="1"/>
  <c r="BW597" i="1"/>
  <c r="A598" i="1"/>
  <c r="C598" i="1"/>
  <c r="S598" i="1"/>
  <c r="T598" i="1"/>
  <c r="U598" i="1"/>
  <c r="BB598" i="1"/>
  <c r="BW598" i="1"/>
  <c r="A599" i="1"/>
  <c r="C599" i="1"/>
  <c r="S599" i="1"/>
  <c r="T599" i="1"/>
  <c r="U599" i="1"/>
  <c r="BB599" i="1"/>
  <c r="BW599" i="1"/>
  <c r="A600" i="1"/>
  <c r="C600" i="1"/>
  <c r="S600" i="1"/>
  <c r="T600" i="1"/>
  <c r="U600" i="1"/>
  <c r="BB600" i="1"/>
  <c r="BW600" i="1"/>
  <c r="A601" i="1"/>
  <c r="C601" i="1"/>
  <c r="S601" i="1"/>
  <c r="T601" i="1"/>
  <c r="U601" i="1"/>
  <c r="BB601" i="1"/>
  <c r="BW601" i="1"/>
  <c r="A602" i="1"/>
  <c r="C602" i="1"/>
  <c r="S602" i="1"/>
  <c r="T602" i="1"/>
  <c r="U602" i="1"/>
  <c r="BB602" i="1"/>
  <c r="BW602" i="1"/>
  <c r="A603" i="1"/>
  <c r="C603" i="1"/>
  <c r="S603" i="1"/>
  <c r="T603" i="1"/>
  <c r="U603" i="1"/>
  <c r="BB603" i="1"/>
  <c r="BW603" i="1"/>
  <c r="A604" i="1"/>
  <c r="C604" i="1"/>
  <c r="S604" i="1"/>
  <c r="T604" i="1"/>
  <c r="U604" i="1"/>
  <c r="BB604" i="1"/>
  <c r="BW604" i="1"/>
  <c r="A605" i="1"/>
  <c r="C605" i="1"/>
  <c r="S605" i="1"/>
  <c r="T605" i="1"/>
  <c r="U605" i="1"/>
  <c r="BB605" i="1"/>
  <c r="BW605" i="1"/>
  <c r="A606" i="1"/>
  <c r="C606" i="1"/>
  <c r="S606" i="1"/>
  <c r="T606" i="1"/>
  <c r="U606" i="1"/>
  <c r="BB606" i="1"/>
  <c r="BW606" i="1"/>
  <c r="A607" i="1"/>
  <c r="C607" i="1"/>
  <c r="S607" i="1"/>
  <c r="T607" i="1"/>
  <c r="U607" i="1"/>
  <c r="BB607" i="1"/>
  <c r="BW607" i="1"/>
  <c r="A608" i="1"/>
  <c r="C608" i="1"/>
  <c r="S608" i="1"/>
  <c r="T608" i="1"/>
  <c r="U608" i="1"/>
  <c r="BB608" i="1"/>
  <c r="BW608" i="1"/>
  <c r="A609" i="1"/>
  <c r="C609" i="1"/>
  <c r="S609" i="1"/>
  <c r="T609" i="1"/>
  <c r="U609" i="1"/>
  <c r="BB609" i="1"/>
  <c r="BW609" i="1"/>
  <c r="A610" i="1"/>
  <c r="C610" i="1"/>
  <c r="S610" i="1"/>
  <c r="T610" i="1"/>
  <c r="U610" i="1"/>
  <c r="BB610" i="1"/>
  <c r="BW610" i="1"/>
  <c r="A611" i="1"/>
  <c r="C611" i="1"/>
  <c r="S611" i="1"/>
  <c r="T611" i="1"/>
  <c r="U611" i="1"/>
  <c r="BB611" i="1"/>
  <c r="BW611" i="1"/>
  <c r="A612" i="1"/>
  <c r="C612" i="1"/>
  <c r="S612" i="1"/>
  <c r="T612" i="1"/>
  <c r="U612" i="1"/>
  <c r="BB612" i="1"/>
  <c r="BW612" i="1"/>
  <c r="A613" i="1"/>
  <c r="C613" i="1"/>
  <c r="S613" i="1"/>
  <c r="T613" i="1"/>
  <c r="U613" i="1"/>
  <c r="BB613" i="1"/>
  <c r="BW613" i="1"/>
  <c r="A614" i="1"/>
  <c r="C614" i="1"/>
  <c r="S614" i="1"/>
  <c r="T614" i="1"/>
  <c r="U614" i="1"/>
  <c r="BB614" i="1"/>
  <c r="BW614" i="1"/>
  <c r="A615" i="1"/>
  <c r="C615" i="1"/>
  <c r="S615" i="1"/>
  <c r="T615" i="1"/>
  <c r="U615" i="1"/>
  <c r="BB615" i="1"/>
  <c r="BW615" i="1"/>
  <c r="A616" i="1"/>
  <c r="C616" i="1"/>
  <c r="S616" i="1"/>
  <c r="T616" i="1"/>
  <c r="U616" i="1"/>
  <c r="BB616" i="1"/>
  <c r="BW616" i="1"/>
  <c r="A617" i="1"/>
  <c r="C617" i="1"/>
  <c r="S617" i="1"/>
  <c r="T617" i="1"/>
  <c r="U617" i="1"/>
  <c r="BB617" i="1"/>
  <c r="BW617" i="1"/>
  <c r="A618" i="1"/>
  <c r="C618" i="1"/>
  <c r="S618" i="1"/>
  <c r="T618" i="1"/>
  <c r="U618" i="1"/>
  <c r="BB618" i="1"/>
  <c r="BW618" i="1"/>
  <c r="A619" i="1"/>
  <c r="C619" i="1"/>
  <c r="S619" i="1"/>
  <c r="T619" i="1"/>
  <c r="U619" i="1"/>
  <c r="BB619" i="1"/>
  <c r="BW619" i="1"/>
  <c r="A620" i="1"/>
  <c r="C620" i="1"/>
  <c r="S620" i="1"/>
  <c r="T620" i="1"/>
  <c r="U620" i="1"/>
  <c r="BB620" i="1"/>
  <c r="BW620" i="1"/>
  <c r="A621" i="1"/>
  <c r="C621" i="1"/>
  <c r="S621" i="1"/>
  <c r="T621" i="1"/>
  <c r="U621" i="1"/>
  <c r="BB621" i="1"/>
  <c r="BW621" i="1"/>
  <c r="A622" i="1"/>
  <c r="C622" i="1"/>
  <c r="S622" i="1"/>
  <c r="T622" i="1"/>
  <c r="U622" i="1"/>
  <c r="BB622" i="1"/>
  <c r="BW622" i="1"/>
  <c r="A623" i="1"/>
  <c r="C623" i="1"/>
  <c r="S623" i="1"/>
  <c r="T623" i="1"/>
  <c r="U623" i="1"/>
  <c r="BB623" i="1"/>
  <c r="BW623" i="1"/>
  <c r="A624" i="1"/>
  <c r="C624" i="1"/>
  <c r="S624" i="1"/>
  <c r="T624" i="1"/>
  <c r="U624" i="1"/>
  <c r="BB624" i="1"/>
  <c r="BW624" i="1"/>
  <c r="A625" i="1"/>
  <c r="C625" i="1"/>
  <c r="S625" i="1"/>
  <c r="T625" i="1"/>
  <c r="U625" i="1"/>
  <c r="BB625" i="1"/>
  <c r="BW625" i="1"/>
  <c r="A626" i="1"/>
  <c r="C626" i="1"/>
  <c r="S626" i="1"/>
  <c r="T626" i="1"/>
  <c r="U626" i="1"/>
  <c r="BB626" i="1"/>
  <c r="BW626" i="1"/>
  <c r="A627" i="1"/>
  <c r="C627" i="1"/>
  <c r="S627" i="1"/>
  <c r="T627" i="1"/>
  <c r="U627" i="1"/>
  <c r="BB627" i="1"/>
  <c r="BW627" i="1"/>
  <c r="A628" i="1"/>
  <c r="C628" i="1"/>
  <c r="S628" i="1"/>
  <c r="T628" i="1"/>
  <c r="U628" i="1"/>
  <c r="BB628" i="1"/>
  <c r="BW628" i="1"/>
  <c r="A629" i="1"/>
  <c r="C629" i="1"/>
  <c r="S629" i="1"/>
  <c r="T629" i="1"/>
  <c r="U629" i="1"/>
  <c r="BB629" i="1"/>
  <c r="BW629" i="1"/>
  <c r="A630" i="1"/>
  <c r="C630" i="1"/>
  <c r="S630" i="1"/>
  <c r="T630" i="1"/>
  <c r="U630" i="1"/>
  <c r="BB630" i="1"/>
  <c r="BW630" i="1"/>
  <c r="A631" i="1"/>
  <c r="C631" i="1"/>
  <c r="S631" i="1"/>
  <c r="T631" i="1"/>
  <c r="U631" i="1"/>
  <c r="BB631" i="1"/>
  <c r="BW631" i="1"/>
  <c r="A632" i="1"/>
  <c r="C632" i="1"/>
  <c r="S632" i="1"/>
  <c r="T632" i="1"/>
  <c r="U632" i="1"/>
  <c r="BB632" i="1"/>
  <c r="BW632" i="1"/>
  <c r="A633" i="1"/>
  <c r="C633" i="1"/>
  <c r="S633" i="1"/>
  <c r="T633" i="1"/>
  <c r="U633" i="1"/>
  <c r="BB633" i="1"/>
  <c r="BW633" i="1"/>
  <c r="A634" i="1"/>
  <c r="C634" i="1"/>
  <c r="S634" i="1"/>
  <c r="T634" i="1"/>
  <c r="U634" i="1"/>
  <c r="BB634" i="1"/>
  <c r="BW634" i="1"/>
  <c r="A635" i="1"/>
  <c r="C635" i="1"/>
  <c r="S635" i="1"/>
  <c r="T635" i="1"/>
  <c r="U635" i="1"/>
  <c r="BB635" i="1"/>
  <c r="BW635" i="1"/>
  <c r="A636" i="1"/>
  <c r="C636" i="1"/>
  <c r="S636" i="1"/>
  <c r="T636" i="1"/>
  <c r="U636" i="1"/>
  <c r="BB636" i="1"/>
  <c r="BW636" i="1"/>
  <c r="A637" i="1"/>
  <c r="C637" i="1"/>
  <c r="S637" i="1"/>
  <c r="T637" i="1"/>
  <c r="U637" i="1"/>
  <c r="BB637" i="1"/>
  <c r="BW637" i="1"/>
  <c r="A638" i="1"/>
  <c r="C638" i="1"/>
  <c r="S638" i="1"/>
  <c r="T638" i="1"/>
  <c r="U638" i="1"/>
  <c r="BB638" i="1"/>
  <c r="BW638" i="1"/>
  <c r="A639" i="1"/>
  <c r="C639" i="1"/>
  <c r="S639" i="1"/>
  <c r="T639" i="1"/>
  <c r="U639" i="1"/>
  <c r="BB639" i="1"/>
  <c r="BW639" i="1"/>
  <c r="A640" i="1"/>
  <c r="C640" i="1"/>
  <c r="S640" i="1"/>
  <c r="T640" i="1"/>
  <c r="U640" i="1"/>
  <c r="BB640" i="1"/>
  <c r="BW640" i="1"/>
  <c r="A641" i="1"/>
  <c r="C641" i="1"/>
  <c r="S641" i="1"/>
  <c r="T641" i="1"/>
  <c r="U641" i="1"/>
  <c r="BB641" i="1"/>
  <c r="BW641" i="1"/>
  <c r="A642" i="1"/>
  <c r="C642" i="1"/>
  <c r="S642" i="1"/>
  <c r="T642" i="1"/>
  <c r="U642" i="1"/>
  <c r="BB642" i="1"/>
  <c r="BW642" i="1"/>
  <c r="A643" i="1"/>
  <c r="C643" i="1"/>
  <c r="S643" i="1"/>
  <c r="T643" i="1"/>
  <c r="U643" i="1"/>
  <c r="BB643" i="1"/>
  <c r="BW643" i="1"/>
  <c r="A644" i="1"/>
  <c r="C644" i="1"/>
  <c r="S644" i="1"/>
  <c r="T644" i="1"/>
  <c r="U644" i="1"/>
  <c r="BB644" i="1"/>
  <c r="BW644" i="1"/>
  <c r="A645" i="1"/>
  <c r="C645" i="1"/>
  <c r="S645" i="1"/>
  <c r="T645" i="1"/>
  <c r="U645" i="1"/>
  <c r="BB645" i="1"/>
  <c r="BW645" i="1"/>
  <c r="A646" i="1"/>
  <c r="C646" i="1"/>
  <c r="S646" i="1"/>
  <c r="T646" i="1"/>
  <c r="U646" i="1"/>
  <c r="BB646" i="1"/>
  <c r="BW646" i="1"/>
  <c r="A647" i="1"/>
  <c r="C647" i="1"/>
  <c r="S647" i="1"/>
  <c r="T647" i="1"/>
  <c r="U647" i="1"/>
  <c r="BB647" i="1"/>
  <c r="BW647" i="1"/>
  <c r="A648" i="1"/>
  <c r="C648" i="1"/>
  <c r="S648" i="1"/>
  <c r="T648" i="1"/>
  <c r="U648" i="1"/>
  <c r="BB648" i="1"/>
  <c r="BW648" i="1"/>
  <c r="A649" i="1"/>
  <c r="C649" i="1"/>
  <c r="S649" i="1"/>
  <c r="T649" i="1"/>
  <c r="U649" i="1"/>
  <c r="BB649" i="1"/>
  <c r="BW649" i="1"/>
  <c r="A650" i="1"/>
  <c r="C650" i="1"/>
  <c r="S650" i="1"/>
  <c r="T650" i="1"/>
  <c r="U650" i="1"/>
  <c r="BB650" i="1"/>
  <c r="BW650" i="1"/>
  <c r="A651" i="1"/>
  <c r="C651" i="1"/>
  <c r="S651" i="1"/>
  <c r="T651" i="1"/>
  <c r="U651" i="1"/>
  <c r="BB651" i="1"/>
  <c r="BW651" i="1"/>
  <c r="A652" i="1"/>
  <c r="C652" i="1"/>
  <c r="S652" i="1"/>
  <c r="T652" i="1"/>
  <c r="U652" i="1"/>
  <c r="BB652" i="1"/>
  <c r="BW652" i="1"/>
  <c r="A653" i="1"/>
  <c r="C653" i="1"/>
  <c r="S653" i="1"/>
  <c r="T653" i="1"/>
  <c r="U653" i="1"/>
  <c r="BB653" i="1"/>
  <c r="BW653" i="1"/>
  <c r="A654" i="1"/>
  <c r="C654" i="1"/>
  <c r="S654" i="1"/>
  <c r="T654" i="1"/>
  <c r="U654" i="1"/>
  <c r="BB654" i="1"/>
  <c r="BW654" i="1"/>
  <c r="A655" i="1"/>
  <c r="C655" i="1"/>
  <c r="S655" i="1"/>
  <c r="T655" i="1"/>
  <c r="U655" i="1"/>
  <c r="BB655" i="1"/>
  <c r="BW655" i="1"/>
  <c r="A656" i="1"/>
  <c r="C656" i="1"/>
  <c r="S656" i="1"/>
  <c r="T656" i="1"/>
  <c r="U656" i="1"/>
  <c r="BB656" i="1"/>
  <c r="BW656" i="1"/>
  <c r="A657" i="1"/>
  <c r="C657" i="1"/>
  <c r="S657" i="1"/>
  <c r="T657" i="1"/>
  <c r="U657" i="1"/>
  <c r="BB657" i="1"/>
  <c r="BW657" i="1"/>
  <c r="A658" i="1"/>
  <c r="C658" i="1"/>
  <c r="S658" i="1"/>
  <c r="T658" i="1"/>
  <c r="U658" i="1"/>
  <c r="BB658" i="1"/>
  <c r="BW658" i="1"/>
  <c r="A659" i="1"/>
  <c r="C659" i="1"/>
  <c r="S659" i="1"/>
  <c r="T659" i="1"/>
  <c r="U659" i="1"/>
  <c r="BB659" i="1"/>
  <c r="BW659" i="1"/>
  <c r="A660" i="1"/>
  <c r="C660" i="1"/>
  <c r="S660" i="1"/>
  <c r="T660" i="1"/>
  <c r="U660" i="1"/>
  <c r="BB660" i="1"/>
  <c r="BW660" i="1"/>
  <c r="A661" i="1"/>
  <c r="C661" i="1"/>
  <c r="S661" i="1"/>
  <c r="T661" i="1"/>
  <c r="U661" i="1"/>
  <c r="BB661" i="1"/>
  <c r="BW661" i="1"/>
  <c r="A662" i="1"/>
  <c r="C662" i="1"/>
  <c r="S662" i="1"/>
  <c r="U662" i="1"/>
  <c r="BB662" i="1"/>
  <c r="BW662" i="1"/>
  <c r="A663" i="1"/>
  <c r="C663" i="1"/>
  <c r="S663" i="1"/>
  <c r="T663" i="1"/>
  <c r="U663" i="1"/>
  <c r="BB663" i="1"/>
  <c r="BW663" i="1"/>
  <c r="A664" i="1"/>
  <c r="C664" i="1"/>
  <c r="S664" i="1"/>
  <c r="T664" i="1"/>
  <c r="U664" i="1"/>
  <c r="BB664" i="1"/>
  <c r="BW664" i="1"/>
  <c r="A665" i="1"/>
  <c r="C665" i="1"/>
  <c r="S665" i="1"/>
  <c r="T665" i="1"/>
  <c r="U665" i="1"/>
  <c r="BB665" i="1"/>
  <c r="BW665" i="1"/>
  <c r="A666" i="1"/>
  <c r="C666" i="1"/>
  <c r="S666" i="1"/>
  <c r="T666" i="1"/>
  <c r="U666" i="1"/>
  <c r="BB666" i="1"/>
  <c r="BW666" i="1"/>
  <c r="A667" i="1"/>
  <c r="C667" i="1"/>
  <c r="S667" i="1"/>
  <c r="T667" i="1"/>
  <c r="U667" i="1"/>
  <c r="BB667" i="1"/>
  <c r="BW667" i="1"/>
  <c r="A668" i="1"/>
  <c r="C668" i="1"/>
  <c r="S668" i="1"/>
  <c r="T668" i="1"/>
  <c r="U668" i="1"/>
  <c r="BB668" i="1"/>
  <c r="BW668" i="1"/>
  <c r="A669" i="1"/>
  <c r="C669" i="1"/>
  <c r="S669" i="1"/>
  <c r="T669" i="1"/>
  <c r="U669" i="1"/>
  <c r="BB669" i="1"/>
  <c r="BW669" i="1"/>
  <c r="A670" i="1"/>
  <c r="C670" i="1"/>
  <c r="S670" i="1"/>
  <c r="T670" i="1"/>
  <c r="U670" i="1"/>
  <c r="BB670" i="1"/>
  <c r="BW670" i="1"/>
  <c r="A671" i="1"/>
  <c r="C671" i="1"/>
  <c r="S671" i="1"/>
  <c r="T671" i="1"/>
  <c r="U671" i="1"/>
  <c r="BB671" i="1"/>
  <c r="BW671" i="1"/>
  <c r="A672" i="1"/>
  <c r="C672" i="1"/>
  <c r="S672" i="1"/>
  <c r="U672" i="1"/>
  <c r="BB672" i="1"/>
  <c r="BW672" i="1"/>
  <c r="A673" i="1"/>
  <c r="C673" i="1"/>
  <c r="S673" i="1"/>
  <c r="T673" i="1"/>
  <c r="U673" i="1"/>
  <c r="BB673" i="1"/>
  <c r="BW673" i="1"/>
  <c r="A674" i="1"/>
  <c r="C674" i="1"/>
  <c r="S674" i="1"/>
  <c r="T674" i="1"/>
  <c r="U674" i="1"/>
  <c r="BB674" i="1"/>
  <c r="BW674" i="1"/>
  <c r="A675" i="1"/>
  <c r="C675" i="1"/>
  <c r="S675" i="1"/>
  <c r="T675" i="1"/>
  <c r="U675" i="1"/>
  <c r="BB675" i="1"/>
  <c r="BW675" i="1"/>
  <c r="A676" i="1"/>
  <c r="C676" i="1"/>
  <c r="S676" i="1"/>
  <c r="U676" i="1"/>
  <c r="BB676" i="1"/>
  <c r="BW676" i="1"/>
  <c r="A677" i="1"/>
  <c r="C677" i="1"/>
  <c r="S677" i="1"/>
  <c r="T677" i="1"/>
  <c r="U677" i="1"/>
  <c r="BB677" i="1"/>
  <c r="BW677" i="1"/>
  <c r="A678" i="1"/>
  <c r="C678" i="1"/>
  <c r="S678" i="1"/>
  <c r="U678" i="1"/>
  <c r="BB678" i="1"/>
  <c r="BW678" i="1"/>
  <c r="A679" i="1"/>
  <c r="C679" i="1"/>
  <c r="S679" i="1"/>
  <c r="T679" i="1"/>
  <c r="U679" i="1"/>
  <c r="BB679" i="1"/>
  <c r="BW679" i="1"/>
  <c r="A680" i="1"/>
  <c r="C680" i="1"/>
  <c r="S680" i="1"/>
  <c r="U680" i="1"/>
  <c r="BB680" i="1"/>
  <c r="BW680" i="1"/>
  <c r="A681" i="1"/>
  <c r="C681" i="1"/>
  <c r="S681" i="1"/>
  <c r="T681" i="1"/>
  <c r="U681" i="1"/>
  <c r="BB681" i="1"/>
  <c r="BW681" i="1"/>
  <c r="A682" i="1"/>
  <c r="C682" i="1"/>
  <c r="S682" i="1"/>
  <c r="U682" i="1"/>
  <c r="BB682" i="1"/>
  <c r="BW682" i="1"/>
  <c r="A683" i="1"/>
  <c r="C683" i="1"/>
  <c r="S683" i="1"/>
  <c r="T683" i="1"/>
  <c r="U683" i="1"/>
  <c r="BB683" i="1"/>
  <c r="BW683" i="1"/>
  <c r="A684" i="1"/>
  <c r="C684" i="1"/>
  <c r="S684" i="1"/>
  <c r="T684" i="1"/>
  <c r="U684" i="1"/>
  <c r="BB684" i="1"/>
  <c r="BW684" i="1"/>
  <c r="A685" i="1"/>
  <c r="C685" i="1"/>
  <c r="S685" i="1"/>
  <c r="T685" i="1"/>
  <c r="U685" i="1"/>
  <c r="BB685" i="1"/>
  <c r="BW685" i="1"/>
  <c r="A686" i="1"/>
  <c r="C686" i="1"/>
  <c r="S686" i="1"/>
  <c r="T686" i="1"/>
  <c r="U686" i="1"/>
  <c r="BB686" i="1"/>
  <c r="BW686" i="1"/>
  <c r="A687" i="1"/>
  <c r="C687" i="1"/>
  <c r="S687" i="1"/>
  <c r="T687" i="1"/>
  <c r="U687" i="1"/>
  <c r="BB687" i="1"/>
  <c r="BW687" i="1"/>
  <c r="A688" i="1"/>
  <c r="C688" i="1"/>
  <c r="S688" i="1"/>
  <c r="T688" i="1"/>
  <c r="U688" i="1"/>
  <c r="BB688" i="1"/>
  <c r="BW688" i="1"/>
  <c r="A689" i="1"/>
  <c r="C689" i="1"/>
  <c r="S689" i="1"/>
  <c r="T689" i="1"/>
  <c r="U689" i="1"/>
  <c r="BB689" i="1"/>
  <c r="BW689" i="1"/>
  <c r="A690" i="1"/>
  <c r="C690" i="1"/>
  <c r="S690" i="1"/>
  <c r="T690" i="1"/>
  <c r="U690" i="1"/>
  <c r="BB690" i="1"/>
  <c r="BW690" i="1"/>
  <c r="A691" i="1"/>
  <c r="C691" i="1"/>
  <c r="S691" i="1"/>
  <c r="T691" i="1"/>
  <c r="U691" i="1"/>
  <c r="BB691" i="1"/>
  <c r="BW691" i="1"/>
  <c r="A692" i="1"/>
  <c r="C692" i="1"/>
  <c r="S692" i="1"/>
  <c r="T692" i="1"/>
  <c r="U692" i="1"/>
  <c r="BB692" i="1"/>
  <c r="BW692" i="1"/>
  <c r="A693" i="1"/>
  <c r="C693" i="1"/>
  <c r="S693" i="1"/>
  <c r="T693" i="1"/>
  <c r="U693" i="1"/>
  <c r="BB693" i="1"/>
  <c r="BW693" i="1"/>
  <c r="A694" i="1"/>
  <c r="C694" i="1"/>
  <c r="S694" i="1"/>
  <c r="T694" i="1"/>
  <c r="U694" i="1"/>
  <c r="BB694" i="1"/>
  <c r="BW694" i="1"/>
  <c r="A695" i="1"/>
  <c r="C695" i="1"/>
  <c r="S695" i="1"/>
  <c r="T695" i="1"/>
  <c r="U695" i="1"/>
  <c r="BB695" i="1"/>
  <c r="BW695" i="1"/>
  <c r="A696" i="1"/>
  <c r="C696" i="1"/>
  <c r="S696" i="1"/>
  <c r="T696" i="1"/>
  <c r="U696" i="1"/>
  <c r="BB696" i="1"/>
  <c r="BW696" i="1"/>
  <c r="A697" i="1"/>
  <c r="C697" i="1"/>
  <c r="S697" i="1"/>
  <c r="T697" i="1"/>
  <c r="U697" i="1"/>
  <c r="BB697" i="1"/>
  <c r="BW697" i="1"/>
  <c r="A698" i="1"/>
  <c r="C698" i="1"/>
  <c r="S698" i="1"/>
  <c r="T698" i="1"/>
  <c r="U698" i="1"/>
  <c r="BB698" i="1"/>
  <c r="BW698" i="1"/>
  <c r="A699" i="1"/>
  <c r="C699" i="1"/>
  <c r="S699" i="1"/>
  <c r="T699" i="1"/>
  <c r="U699" i="1"/>
  <c r="BB699" i="1"/>
  <c r="BW699" i="1"/>
  <c r="A700" i="1"/>
  <c r="C700" i="1"/>
  <c r="S700" i="1"/>
  <c r="T700" i="1"/>
  <c r="U700" i="1"/>
  <c r="BB700" i="1"/>
  <c r="BW700" i="1"/>
  <c r="A701" i="1"/>
  <c r="C701" i="1"/>
  <c r="S701" i="1"/>
  <c r="T701" i="1"/>
  <c r="U701" i="1"/>
  <c r="BB701" i="1"/>
  <c r="BW701" i="1"/>
  <c r="A702" i="1"/>
  <c r="C702" i="1"/>
  <c r="S702" i="1"/>
  <c r="T702" i="1"/>
  <c r="U702" i="1"/>
  <c r="BB702" i="1"/>
  <c r="BW702" i="1"/>
  <c r="A703" i="1"/>
  <c r="C703" i="1"/>
  <c r="S703" i="1"/>
  <c r="T703" i="1"/>
  <c r="U703" i="1"/>
  <c r="BB703" i="1"/>
  <c r="BW703" i="1"/>
  <c r="A704" i="1"/>
  <c r="C704" i="1"/>
  <c r="S704" i="1"/>
  <c r="T704" i="1"/>
  <c r="U704" i="1"/>
  <c r="BB704" i="1"/>
  <c r="BW704" i="1"/>
  <c r="A705" i="1"/>
  <c r="C705" i="1"/>
  <c r="S705" i="1"/>
  <c r="T705" i="1"/>
  <c r="U705" i="1"/>
  <c r="BB705" i="1"/>
  <c r="BW705" i="1"/>
  <c r="A706" i="1"/>
  <c r="C706" i="1"/>
  <c r="S706" i="1"/>
  <c r="T706" i="1"/>
  <c r="U706" i="1"/>
  <c r="BB706" i="1"/>
  <c r="BW706" i="1"/>
  <c r="A707" i="1"/>
  <c r="C707" i="1"/>
  <c r="S707" i="1"/>
  <c r="T707" i="1"/>
  <c r="U707" i="1"/>
  <c r="BB707" i="1"/>
  <c r="BW707" i="1"/>
  <c r="A708" i="1"/>
  <c r="C708" i="1"/>
  <c r="S708" i="1"/>
  <c r="T708" i="1"/>
  <c r="U708" i="1"/>
  <c r="BB708" i="1"/>
  <c r="BW708" i="1"/>
  <c r="A709" i="1"/>
  <c r="C709" i="1"/>
  <c r="S709" i="1"/>
  <c r="T709" i="1"/>
  <c r="U709" i="1"/>
  <c r="BB709" i="1"/>
  <c r="BW709" i="1"/>
  <c r="A710" i="1"/>
  <c r="C710" i="1"/>
  <c r="S710" i="1"/>
  <c r="T710" i="1"/>
  <c r="U710" i="1"/>
  <c r="BB710" i="1"/>
  <c r="BW710" i="1"/>
  <c r="A711" i="1"/>
  <c r="C711" i="1"/>
  <c r="S711" i="1"/>
  <c r="T711" i="1"/>
  <c r="U711" i="1"/>
  <c r="BB711" i="1"/>
  <c r="BW711" i="1"/>
  <c r="A712" i="1"/>
  <c r="C712" i="1"/>
  <c r="S712" i="1"/>
  <c r="T712" i="1"/>
  <c r="U712" i="1"/>
  <c r="BB712" i="1"/>
  <c r="BW712" i="1"/>
  <c r="A713" i="1"/>
  <c r="C713" i="1"/>
  <c r="S713" i="1"/>
  <c r="T713" i="1"/>
  <c r="U713" i="1"/>
  <c r="BB713" i="1"/>
  <c r="BW713" i="1"/>
  <c r="A714" i="1"/>
  <c r="C714" i="1"/>
  <c r="S714" i="1"/>
  <c r="T714" i="1"/>
  <c r="U714" i="1"/>
  <c r="BB714" i="1"/>
  <c r="BW714" i="1"/>
  <c r="A715" i="1"/>
  <c r="C715" i="1"/>
  <c r="S715" i="1"/>
  <c r="T715" i="1"/>
  <c r="U715" i="1"/>
  <c r="BB715" i="1"/>
  <c r="BW715" i="1"/>
  <c r="A716" i="1"/>
  <c r="C716" i="1"/>
  <c r="S716" i="1"/>
  <c r="T716" i="1"/>
  <c r="U716" i="1"/>
  <c r="BB716" i="1"/>
  <c r="BW716" i="1"/>
  <c r="A717" i="1"/>
  <c r="C717" i="1"/>
  <c r="S717" i="1"/>
  <c r="T717" i="1"/>
  <c r="U717" i="1"/>
  <c r="BB717" i="1"/>
  <c r="BW717" i="1"/>
  <c r="A718" i="1"/>
  <c r="C718" i="1"/>
  <c r="S718" i="1"/>
  <c r="T718" i="1"/>
  <c r="U718" i="1"/>
  <c r="BB718" i="1"/>
  <c r="BW718" i="1"/>
  <c r="A719" i="1"/>
  <c r="C719" i="1"/>
  <c r="S719" i="1"/>
  <c r="T719" i="1"/>
  <c r="U719" i="1"/>
  <c r="BB719" i="1"/>
  <c r="BW719" i="1"/>
  <c r="A720" i="1"/>
  <c r="C720" i="1"/>
  <c r="S720" i="1"/>
  <c r="T720" i="1"/>
  <c r="U720" i="1"/>
  <c r="BB720" i="1"/>
  <c r="BW720" i="1"/>
  <c r="A721" i="1"/>
  <c r="C721" i="1"/>
  <c r="S721" i="1"/>
  <c r="T721" i="1"/>
  <c r="U721" i="1"/>
  <c r="BB721" i="1"/>
  <c r="BW721" i="1"/>
  <c r="A722" i="1"/>
  <c r="C722" i="1"/>
  <c r="S722" i="1"/>
  <c r="T722" i="1"/>
  <c r="U722" i="1"/>
  <c r="BB722" i="1"/>
  <c r="BW722" i="1"/>
  <c r="A723" i="1"/>
  <c r="C723" i="1"/>
  <c r="S723" i="1"/>
  <c r="T723" i="1"/>
  <c r="U723" i="1"/>
  <c r="BB723" i="1"/>
  <c r="BW723" i="1"/>
  <c r="A724" i="1"/>
  <c r="C724" i="1"/>
  <c r="S724" i="1"/>
  <c r="T724" i="1"/>
  <c r="U724" i="1"/>
  <c r="BB724" i="1"/>
  <c r="BW724" i="1"/>
  <c r="A725" i="1"/>
  <c r="C725" i="1"/>
  <c r="S725" i="1"/>
  <c r="T725" i="1"/>
  <c r="U725" i="1"/>
  <c r="BB725" i="1"/>
  <c r="BW725" i="1"/>
  <c r="A726" i="1"/>
  <c r="C726" i="1"/>
  <c r="S726" i="1"/>
  <c r="T726" i="1"/>
  <c r="U726" i="1"/>
  <c r="BB726" i="1"/>
  <c r="BW726" i="1"/>
  <c r="A727" i="1"/>
  <c r="C727" i="1"/>
  <c r="S727" i="1"/>
  <c r="T727" i="1"/>
  <c r="U727" i="1"/>
  <c r="BB727" i="1"/>
  <c r="BW727" i="1"/>
  <c r="A728" i="1"/>
  <c r="C728" i="1"/>
  <c r="S728" i="1"/>
  <c r="T728" i="1"/>
  <c r="U728" i="1"/>
  <c r="BB728" i="1"/>
  <c r="BW728" i="1"/>
  <c r="A729" i="1"/>
  <c r="C729" i="1"/>
  <c r="S729" i="1"/>
  <c r="T729" i="1"/>
  <c r="U729" i="1"/>
  <c r="BB729" i="1"/>
  <c r="BW729" i="1"/>
  <c r="A730" i="1"/>
  <c r="C730" i="1"/>
  <c r="S730" i="1"/>
  <c r="T730" i="1"/>
  <c r="U730" i="1"/>
  <c r="BB730" i="1"/>
  <c r="BW730" i="1"/>
  <c r="A731" i="1"/>
  <c r="C731" i="1"/>
  <c r="S731" i="1"/>
  <c r="T731" i="1"/>
  <c r="U731" i="1"/>
  <c r="BB731" i="1"/>
  <c r="BW731" i="1"/>
  <c r="A732" i="1"/>
  <c r="C732" i="1"/>
  <c r="S732" i="1"/>
  <c r="T732" i="1"/>
  <c r="U732" i="1"/>
  <c r="BB732" i="1"/>
  <c r="BW732" i="1"/>
  <c r="A733" i="1"/>
  <c r="C733" i="1"/>
  <c r="S733" i="1"/>
  <c r="T733" i="1"/>
  <c r="U733" i="1"/>
  <c r="BB733" i="1"/>
  <c r="BW733" i="1"/>
  <c r="A734" i="1"/>
  <c r="C734" i="1"/>
  <c r="S734" i="1"/>
  <c r="T734" i="1"/>
  <c r="U734" i="1"/>
  <c r="BB734" i="1"/>
  <c r="BW734" i="1"/>
  <c r="A735" i="1"/>
  <c r="C735" i="1"/>
  <c r="S735" i="1"/>
  <c r="T735" i="1"/>
  <c r="U735" i="1"/>
  <c r="BB735" i="1"/>
  <c r="BW735" i="1"/>
  <c r="A736" i="1"/>
  <c r="C736" i="1"/>
  <c r="S736" i="1"/>
  <c r="T736" i="1"/>
  <c r="U736" i="1"/>
  <c r="BB736" i="1"/>
  <c r="BW736" i="1"/>
  <c r="A737" i="1"/>
  <c r="C737" i="1"/>
  <c r="S737" i="1"/>
  <c r="T737" i="1"/>
  <c r="U737" i="1"/>
  <c r="BB737" i="1"/>
  <c r="BW737" i="1"/>
  <c r="A738" i="1"/>
  <c r="C738" i="1"/>
  <c r="S738" i="1"/>
  <c r="T738" i="1"/>
  <c r="U738" i="1"/>
  <c r="BB738" i="1"/>
  <c r="BW738" i="1"/>
  <c r="A739" i="1"/>
  <c r="C739" i="1"/>
  <c r="S739" i="1"/>
  <c r="T739" i="1"/>
  <c r="U739" i="1"/>
  <c r="BB739" i="1"/>
  <c r="BW739" i="1"/>
  <c r="A740" i="1"/>
  <c r="C740" i="1"/>
  <c r="S740" i="1"/>
  <c r="T740" i="1"/>
  <c r="U740" i="1"/>
  <c r="BB740" i="1"/>
  <c r="BW740" i="1"/>
  <c r="A741" i="1"/>
  <c r="C741" i="1"/>
  <c r="S741" i="1"/>
  <c r="T741" i="1"/>
  <c r="U741" i="1"/>
  <c r="BB741" i="1"/>
  <c r="BW741" i="1"/>
  <c r="A742" i="1"/>
  <c r="C742" i="1"/>
  <c r="S742" i="1"/>
  <c r="T742" i="1"/>
  <c r="U742" i="1"/>
  <c r="BB742" i="1"/>
  <c r="BW742" i="1"/>
  <c r="A743" i="1"/>
  <c r="C743" i="1"/>
  <c r="S743" i="1"/>
  <c r="T743" i="1"/>
  <c r="U743" i="1"/>
  <c r="BB743" i="1"/>
  <c r="BW743" i="1"/>
  <c r="A744" i="1"/>
  <c r="C744" i="1"/>
  <c r="S744" i="1"/>
  <c r="T744" i="1"/>
  <c r="U744" i="1"/>
  <c r="BB744" i="1"/>
  <c r="BW744" i="1"/>
  <c r="A745" i="1"/>
  <c r="C745" i="1"/>
  <c r="S745" i="1"/>
  <c r="T745" i="1"/>
  <c r="U745" i="1"/>
  <c r="BB745" i="1"/>
  <c r="BW745" i="1"/>
  <c r="A746" i="1"/>
  <c r="C746" i="1"/>
  <c r="S746" i="1"/>
  <c r="T746" i="1"/>
  <c r="U746" i="1"/>
  <c r="BB746" i="1"/>
  <c r="BW746" i="1"/>
  <c r="A747" i="1"/>
  <c r="C747" i="1"/>
  <c r="S747" i="1"/>
  <c r="T747" i="1"/>
  <c r="U747" i="1"/>
  <c r="BB747" i="1"/>
  <c r="BW747" i="1"/>
  <c r="A748" i="1"/>
  <c r="C748" i="1"/>
  <c r="S748" i="1"/>
  <c r="T748" i="1"/>
  <c r="U748" i="1"/>
  <c r="BB748" i="1"/>
  <c r="BW748" i="1"/>
  <c r="A749" i="1"/>
  <c r="C749" i="1"/>
  <c r="S749" i="1"/>
  <c r="T749" i="1"/>
  <c r="U749" i="1"/>
  <c r="BB749" i="1"/>
  <c r="BW749" i="1"/>
  <c r="A750" i="1"/>
  <c r="C750" i="1"/>
  <c r="S750" i="1"/>
  <c r="T750" i="1"/>
  <c r="U750" i="1"/>
  <c r="BB750" i="1"/>
  <c r="BW750" i="1"/>
  <c r="A751" i="1"/>
  <c r="C751" i="1"/>
  <c r="S751" i="1"/>
  <c r="T751" i="1"/>
  <c r="U751" i="1"/>
  <c r="BB751" i="1"/>
  <c r="BW751" i="1"/>
  <c r="A752" i="1"/>
  <c r="C752" i="1"/>
  <c r="S752" i="1"/>
  <c r="T752" i="1"/>
  <c r="U752" i="1"/>
  <c r="BB752" i="1"/>
  <c r="BW752" i="1"/>
  <c r="A753" i="1"/>
  <c r="C753" i="1"/>
  <c r="S753" i="1"/>
  <c r="T753" i="1"/>
  <c r="U753" i="1"/>
  <c r="BB753" i="1"/>
  <c r="BW753" i="1"/>
  <c r="A754" i="1"/>
  <c r="C754" i="1"/>
  <c r="S754" i="1"/>
  <c r="T754" i="1"/>
  <c r="U754" i="1"/>
  <c r="BB754" i="1"/>
  <c r="BW754" i="1"/>
  <c r="A755" i="1"/>
  <c r="C755" i="1"/>
  <c r="S755" i="1"/>
  <c r="T755" i="1"/>
  <c r="U755" i="1"/>
  <c r="BB755" i="1"/>
  <c r="BW755" i="1"/>
  <c r="A756" i="1"/>
  <c r="C756" i="1"/>
  <c r="S756" i="1"/>
  <c r="T756" i="1"/>
  <c r="U756" i="1"/>
  <c r="BB756" i="1"/>
  <c r="BW756" i="1"/>
  <c r="A757" i="1"/>
  <c r="C757" i="1"/>
  <c r="S757" i="1"/>
  <c r="T757" i="1"/>
  <c r="U757" i="1"/>
  <c r="BB757" i="1"/>
  <c r="BW757" i="1"/>
  <c r="A758" i="1"/>
  <c r="C758" i="1"/>
  <c r="S758" i="1"/>
  <c r="T758" i="1"/>
  <c r="U758" i="1"/>
  <c r="BB758" i="1"/>
  <c r="BW758" i="1"/>
  <c r="A759" i="1"/>
  <c r="C759" i="1"/>
  <c r="S759" i="1"/>
  <c r="T759" i="1"/>
  <c r="U759" i="1"/>
  <c r="BB759" i="1"/>
  <c r="BW759" i="1"/>
  <c r="A760" i="1"/>
  <c r="C760" i="1"/>
  <c r="S760" i="1"/>
  <c r="T760" i="1"/>
  <c r="U760" i="1"/>
  <c r="BB760" i="1"/>
  <c r="BW760" i="1"/>
  <c r="A761" i="1"/>
  <c r="C761" i="1"/>
  <c r="S761" i="1"/>
  <c r="T761" i="1"/>
  <c r="U761" i="1"/>
  <c r="BB761" i="1"/>
  <c r="BW761" i="1"/>
  <c r="A762" i="1"/>
  <c r="C762" i="1"/>
  <c r="S762" i="1"/>
  <c r="T762" i="1"/>
  <c r="U762" i="1"/>
  <c r="BB762" i="1"/>
  <c r="BW762" i="1"/>
  <c r="A763" i="1"/>
  <c r="C763" i="1"/>
  <c r="S763" i="1"/>
  <c r="T763" i="1"/>
  <c r="U763" i="1"/>
  <c r="BB763" i="1"/>
  <c r="BW763" i="1"/>
  <c r="A764" i="1"/>
  <c r="C764" i="1"/>
  <c r="S764" i="1"/>
  <c r="T764" i="1"/>
  <c r="U764" i="1"/>
  <c r="BB764" i="1"/>
  <c r="BW764" i="1"/>
  <c r="A765" i="1"/>
  <c r="C765" i="1"/>
  <c r="S765" i="1"/>
  <c r="T765" i="1"/>
  <c r="U765" i="1"/>
  <c r="BB765" i="1"/>
  <c r="BW765" i="1"/>
  <c r="A766" i="1"/>
  <c r="C766" i="1"/>
  <c r="S766" i="1"/>
  <c r="T766" i="1"/>
  <c r="U766" i="1"/>
  <c r="BB766" i="1"/>
  <c r="BW766" i="1"/>
  <c r="A767" i="1"/>
  <c r="C767" i="1"/>
  <c r="S767" i="1"/>
  <c r="T767" i="1"/>
  <c r="U767" i="1"/>
  <c r="BB767" i="1"/>
  <c r="BW767" i="1"/>
  <c r="A768" i="1"/>
  <c r="C768" i="1"/>
  <c r="S768" i="1"/>
  <c r="T768" i="1"/>
  <c r="U768" i="1"/>
  <c r="BB768" i="1"/>
  <c r="BW768" i="1"/>
  <c r="A769" i="1"/>
  <c r="C769" i="1"/>
  <c r="S769" i="1"/>
  <c r="T769" i="1"/>
  <c r="U769" i="1"/>
  <c r="BB769" i="1"/>
  <c r="BW769" i="1"/>
  <c r="A770" i="1"/>
  <c r="C770" i="1"/>
  <c r="S770" i="1"/>
  <c r="T770" i="1"/>
  <c r="U770" i="1"/>
  <c r="BB770" i="1"/>
  <c r="BW770" i="1"/>
  <c r="A771" i="1"/>
  <c r="C771" i="1"/>
  <c r="S771" i="1"/>
  <c r="T771" i="1"/>
  <c r="U771" i="1"/>
  <c r="BB771" i="1"/>
  <c r="BW771" i="1"/>
  <c r="A772" i="1"/>
  <c r="C772" i="1"/>
  <c r="S772" i="1"/>
  <c r="T772" i="1"/>
  <c r="U772" i="1"/>
  <c r="BB772" i="1"/>
  <c r="BW772" i="1"/>
  <c r="A773" i="1"/>
  <c r="C773" i="1"/>
  <c r="S773" i="1"/>
  <c r="T773" i="1"/>
  <c r="U773" i="1"/>
  <c r="BB773" i="1"/>
  <c r="BW773" i="1"/>
  <c r="A774" i="1"/>
  <c r="C774" i="1"/>
  <c r="S774" i="1"/>
  <c r="T774" i="1"/>
  <c r="U774" i="1"/>
  <c r="BB774" i="1"/>
  <c r="BW774" i="1"/>
  <c r="A775" i="1"/>
  <c r="C775" i="1"/>
  <c r="S775" i="1"/>
  <c r="T775" i="1"/>
  <c r="U775" i="1"/>
  <c r="BB775" i="1"/>
  <c r="BW775" i="1"/>
  <c r="A776" i="1"/>
  <c r="C776" i="1"/>
  <c r="S776" i="1"/>
  <c r="T776" i="1"/>
  <c r="U776" i="1"/>
  <c r="BB776" i="1"/>
  <c r="BW776" i="1"/>
  <c r="A777" i="1"/>
  <c r="C777" i="1"/>
  <c r="S777" i="1"/>
  <c r="T777" i="1"/>
  <c r="U777" i="1"/>
  <c r="BB777" i="1"/>
  <c r="BW777" i="1"/>
  <c r="A778" i="1"/>
  <c r="C778" i="1"/>
  <c r="S778" i="1"/>
  <c r="T778" i="1"/>
  <c r="U778" i="1"/>
  <c r="BB778" i="1"/>
  <c r="BW778" i="1"/>
  <c r="A779" i="1"/>
  <c r="C779" i="1"/>
  <c r="S779" i="1"/>
  <c r="T779" i="1"/>
  <c r="U779" i="1"/>
  <c r="BB779" i="1"/>
  <c r="BW779" i="1"/>
  <c r="A780" i="1"/>
  <c r="C780" i="1"/>
  <c r="S780" i="1"/>
  <c r="T780" i="1"/>
  <c r="U780" i="1"/>
  <c r="BB780" i="1"/>
  <c r="BW780" i="1"/>
  <c r="A781" i="1"/>
  <c r="C781" i="1"/>
  <c r="S781" i="1"/>
  <c r="T781" i="1"/>
  <c r="U781" i="1"/>
  <c r="BB781" i="1"/>
  <c r="BW781" i="1"/>
  <c r="A782" i="1"/>
  <c r="C782" i="1"/>
  <c r="S782" i="1"/>
  <c r="T782" i="1"/>
  <c r="U782" i="1"/>
  <c r="BB782" i="1"/>
  <c r="BW782" i="1"/>
  <c r="A783" i="1"/>
  <c r="C783" i="1"/>
  <c r="S783" i="1"/>
  <c r="T783" i="1"/>
  <c r="U783" i="1"/>
  <c r="BB783" i="1"/>
  <c r="BW783" i="1"/>
  <c r="A784" i="1"/>
  <c r="C784" i="1"/>
  <c r="S784" i="1"/>
  <c r="T784" i="1"/>
  <c r="U784" i="1"/>
  <c r="BB784" i="1"/>
  <c r="BW784" i="1"/>
  <c r="A785" i="1"/>
  <c r="C785" i="1"/>
  <c r="S785" i="1"/>
  <c r="T785" i="1"/>
  <c r="U785" i="1"/>
  <c r="BB785" i="1"/>
  <c r="BW785" i="1"/>
  <c r="A786" i="1"/>
  <c r="C786" i="1"/>
  <c r="S786" i="1"/>
  <c r="T786" i="1"/>
  <c r="U786" i="1"/>
  <c r="BB786" i="1"/>
  <c r="BW786" i="1"/>
  <c r="A787" i="1"/>
  <c r="C787" i="1"/>
  <c r="S787" i="1"/>
  <c r="T787" i="1"/>
  <c r="U787" i="1"/>
  <c r="BB787" i="1"/>
  <c r="BW787" i="1"/>
  <c r="A788" i="1"/>
  <c r="C788" i="1"/>
  <c r="S788" i="1"/>
  <c r="T788" i="1"/>
  <c r="U788" i="1"/>
  <c r="BB788" i="1"/>
  <c r="BW788" i="1"/>
  <c r="A789" i="1"/>
  <c r="C789" i="1"/>
  <c r="S789" i="1"/>
  <c r="T789" i="1"/>
  <c r="U789" i="1"/>
  <c r="BB789" i="1"/>
  <c r="BW789" i="1"/>
  <c r="A790" i="1"/>
  <c r="C790" i="1"/>
  <c r="S790" i="1"/>
  <c r="T790" i="1"/>
  <c r="U790" i="1"/>
  <c r="BB790" i="1"/>
  <c r="BW790" i="1"/>
  <c r="A791" i="1"/>
  <c r="C791" i="1"/>
  <c r="S791" i="1"/>
  <c r="T791" i="1"/>
  <c r="U791" i="1"/>
  <c r="BB791" i="1"/>
  <c r="BW791" i="1"/>
  <c r="A792" i="1"/>
  <c r="C792" i="1"/>
  <c r="S792" i="1"/>
  <c r="T792" i="1"/>
  <c r="U792" i="1"/>
  <c r="BB792" i="1"/>
  <c r="BW792" i="1"/>
  <c r="A793" i="1"/>
  <c r="C793" i="1"/>
  <c r="S793" i="1"/>
  <c r="T793" i="1"/>
  <c r="U793" i="1"/>
  <c r="BB793" i="1"/>
  <c r="BW793" i="1"/>
  <c r="A794" i="1"/>
  <c r="C794" i="1"/>
  <c r="S794" i="1"/>
  <c r="T794" i="1"/>
  <c r="U794" i="1"/>
  <c r="BB794" i="1"/>
  <c r="BW794" i="1"/>
  <c r="A795" i="1"/>
  <c r="C795" i="1"/>
  <c r="S795" i="1"/>
  <c r="T795" i="1"/>
  <c r="U795" i="1"/>
  <c r="BB795" i="1"/>
  <c r="BW795" i="1"/>
  <c r="A796" i="1"/>
  <c r="C796" i="1"/>
  <c r="S796" i="1"/>
  <c r="T796" i="1"/>
  <c r="U796" i="1"/>
  <c r="BB796" i="1"/>
  <c r="BW796" i="1"/>
  <c r="A797" i="1"/>
  <c r="C797" i="1"/>
  <c r="S797" i="1"/>
  <c r="T797" i="1"/>
  <c r="U797" i="1"/>
  <c r="BB797" i="1"/>
  <c r="BW797" i="1"/>
  <c r="A798" i="1"/>
  <c r="C798" i="1"/>
  <c r="S798" i="1"/>
  <c r="T798" i="1"/>
  <c r="U798" i="1"/>
  <c r="BB798" i="1"/>
  <c r="BW798" i="1"/>
  <c r="A799" i="1"/>
  <c r="C799" i="1"/>
  <c r="S799" i="1"/>
  <c r="T799" i="1"/>
  <c r="U799" i="1"/>
  <c r="BB799" i="1"/>
  <c r="BW799" i="1"/>
  <c r="A800" i="1"/>
  <c r="C800" i="1"/>
  <c r="S800" i="1"/>
  <c r="T800" i="1"/>
  <c r="U800" i="1"/>
  <c r="BB800" i="1"/>
  <c r="BW800" i="1"/>
  <c r="A801" i="1"/>
  <c r="C801" i="1"/>
  <c r="S801" i="1"/>
  <c r="T801" i="1"/>
  <c r="U801" i="1"/>
  <c r="BB801" i="1"/>
  <c r="BW801" i="1"/>
  <c r="A802" i="1"/>
  <c r="C802" i="1"/>
  <c r="S802" i="1"/>
  <c r="T802" i="1"/>
  <c r="U802" i="1"/>
  <c r="BB802" i="1"/>
  <c r="BW802" i="1"/>
  <c r="A803" i="1"/>
  <c r="C803" i="1"/>
  <c r="S803" i="1"/>
  <c r="T803" i="1"/>
  <c r="U803" i="1"/>
  <c r="BB803" i="1"/>
  <c r="BW803" i="1"/>
  <c r="A804" i="1"/>
  <c r="C804" i="1"/>
  <c r="S804" i="1"/>
  <c r="T804" i="1"/>
  <c r="U804" i="1"/>
  <c r="BB804" i="1"/>
  <c r="BW804" i="1"/>
  <c r="A805" i="1"/>
  <c r="C805" i="1"/>
  <c r="S805" i="1"/>
  <c r="T805" i="1"/>
  <c r="U805" i="1"/>
  <c r="BB805" i="1"/>
  <c r="BW805" i="1"/>
  <c r="A806" i="1"/>
  <c r="C806" i="1"/>
  <c r="S806" i="1"/>
  <c r="T806" i="1"/>
  <c r="U806" i="1"/>
  <c r="BB806" i="1"/>
  <c r="BW806" i="1"/>
  <c r="A807" i="1"/>
  <c r="C807" i="1"/>
  <c r="S807" i="1"/>
  <c r="T807" i="1"/>
  <c r="U807" i="1"/>
  <c r="BB807" i="1"/>
  <c r="BW807" i="1"/>
  <c r="A808" i="1"/>
  <c r="C808" i="1"/>
  <c r="S808" i="1"/>
  <c r="T808" i="1"/>
  <c r="U808" i="1"/>
  <c r="BB808" i="1"/>
  <c r="BW808" i="1"/>
  <c r="A809" i="1"/>
  <c r="C809" i="1"/>
  <c r="S809" i="1"/>
  <c r="T809" i="1"/>
  <c r="U809" i="1"/>
  <c r="BB809" i="1"/>
  <c r="BW809" i="1"/>
  <c r="A810" i="1"/>
  <c r="C810" i="1"/>
  <c r="S810" i="1"/>
  <c r="T810" i="1"/>
  <c r="U810" i="1"/>
  <c r="BB810" i="1"/>
  <c r="BW810" i="1"/>
  <c r="A811" i="1"/>
  <c r="C811" i="1"/>
  <c r="S811" i="1"/>
  <c r="T811" i="1"/>
  <c r="U811" i="1"/>
  <c r="BB811" i="1"/>
  <c r="BW811" i="1"/>
  <c r="A812" i="1"/>
  <c r="C812" i="1"/>
  <c r="S812" i="1"/>
  <c r="T812" i="1"/>
  <c r="U812" i="1"/>
  <c r="BB812" i="1"/>
  <c r="BW812" i="1"/>
  <c r="A813" i="1"/>
  <c r="C813" i="1"/>
  <c r="S813" i="1"/>
  <c r="T813" i="1"/>
  <c r="U813" i="1"/>
  <c r="BB813" i="1"/>
  <c r="BW813" i="1"/>
  <c r="A814" i="1"/>
  <c r="C814" i="1"/>
  <c r="S814" i="1"/>
  <c r="T814" i="1"/>
  <c r="U814" i="1"/>
  <c r="BB814" i="1"/>
  <c r="BW814" i="1"/>
  <c r="A815" i="1"/>
  <c r="C815" i="1"/>
  <c r="S815" i="1"/>
  <c r="T815" i="1"/>
  <c r="U815" i="1"/>
  <c r="BB815" i="1"/>
  <c r="BW815" i="1"/>
  <c r="A816" i="1"/>
  <c r="C816" i="1"/>
  <c r="S816" i="1"/>
  <c r="T816" i="1"/>
  <c r="U816" i="1"/>
  <c r="BB816" i="1"/>
  <c r="BW816" i="1"/>
  <c r="A817" i="1"/>
  <c r="C817" i="1"/>
  <c r="S817" i="1"/>
  <c r="T817" i="1"/>
  <c r="U817" i="1"/>
  <c r="BB817" i="1"/>
  <c r="BW817" i="1"/>
  <c r="A818" i="1"/>
  <c r="C818" i="1"/>
  <c r="S818" i="1"/>
  <c r="T818" i="1"/>
  <c r="U818" i="1"/>
  <c r="BB818" i="1"/>
  <c r="BW818" i="1"/>
  <c r="A819" i="1"/>
  <c r="C819" i="1"/>
  <c r="S819" i="1"/>
  <c r="T819" i="1"/>
  <c r="U819" i="1"/>
  <c r="BB819" i="1"/>
  <c r="BW819" i="1"/>
  <c r="A820" i="1"/>
  <c r="C820" i="1"/>
  <c r="S820" i="1"/>
  <c r="T820" i="1"/>
  <c r="U820" i="1"/>
  <c r="BB820" i="1"/>
  <c r="BW820" i="1"/>
  <c r="A821" i="1"/>
  <c r="C821" i="1"/>
  <c r="S821" i="1"/>
  <c r="T821" i="1"/>
  <c r="U821" i="1"/>
  <c r="BB821" i="1"/>
  <c r="BW821" i="1"/>
  <c r="A822" i="1"/>
  <c r="C822" i="1"/>
  <c r="S822" i="1"/>
  <c r="T822" i="1"/>
  <c r="U822" i="1"/>
  <c r="BB822" i="1"/>
  <c r="BW822" i="1"/>
  <c r="A823" i="1"/>
  <c r="C823" i="1"/>
  <c r="S823" i="1"/>
  <c r="T823" i="1"/>
  <c r="U823" i="1"/>
  <c r="BB823" i="1"/>
  <c r="BW823" i="1"/>
  <c r="A824" i="1"/>
  <c r="C824" i="1"/>
  <c r="S824" i="1"/>
  <c r="T824" i="1"/>
  <c r="U824" i="1"/>
  <c r="BB824" i="1"/>
  <c r="BW824" i="1"/>
  <c r="A825" i="1"/>
  <c r="C825" i="1"/>
  <c r="S825" i="1"/>
  <c r="T825" i="1"/>
  <c r="U825" i="1"/>
  <c r="BB825" i="1"/>
  <c r="BW825" i="1"/>
  <c r="A826" i="1"/>
  <c r="C826" i="1"/>
  <c r="S826" i="1"/>
  <c r="T826" i="1"/>
  <c r="U826" i="1"/>
  <c r="BB826" i="1"/>
  <c r="BW826" i="1"/>
  <c r="A827" i="1"/>
  <c r="C827" i="1"/>
  <c r="S827" i="1"/>
  <c r="T827" i="1"/>
  <c r="U827" i="1"/>
  <c r="BB827" i="1"/>
  <c r="BW827" i="1"/>
  <c r="A828" i="1"/>
  <c r="C828" i="1"/>
  <c r="S828" i="1"/>
  <c r="T828" i="1"/>
  <c r="U828" i="1"/>
  <c r="BB828" i="1"/>
  <c r="BW828" i="1"/>
  <c r="A829" i="1"/>
  <c r="C829" i="1"/>
  <c r="S829" i="1"/>
  <c r="T829" i="1"/>
  <c r="U829" i="1"/>
  <c r="BB829" i="1"/>
  <c r="BW829" i="1"/>
  <c r="A830" i="1"/>
  <c r="C830" i="1"/>
  <c r="S830" i="1"/>
  <c r="T830" i="1"/>
  <c r="U830" i="1"/>
  <c r="BB830" i="1"/>
  <c r="BW830" i="1"/>
  <c r="A831" i="1"/>
  <c r="C831" i="1"/>
  <c r="S831" i="1"/>
  <c r="T831" i="1"/>
  <c r="U831" i="1"/>
  <c r="BB831" i="1"/>
  <c r="BW831" i="1"/>
  <c r="A832" i="1"/>
  <c r="C832" i="1"/>
  <c r="S832" i="1"/>
  <c r="T832" i="1"/>
  <c r="U832" i="1"/>
  <c r="BB832" i="1"/>
  <c r="BW832" i="1"/>
  <c r="A833" i="1"/>
  <c r="C833" i="1"/>
  <c r="S833" i="1"/>
  <c r="T833" i="1"/>
  <c r="U833" i="1"/>
  <c r="BB833" i="1"/>
  <c r="BW833" i="1"/>
  <c r="A834" i="1"/>
  <c r="C834" i="1"/>
  <c r="S834" i="1"/>
  <c r="T834" i="1"/>
  <c r="U834" i="1"/>
  <c r="BB834" i="1"/>
  <c r="BW834" i="1"/>
  <c r="A835" i="1"/>
  <c r="C835" i="1"/>
  <c r="S835" i="1"/>
  <c r="T835" i="1"/>
  <c r="U835" i="1"/>
  <c r="BB835" i="1"/>
  <c r="BW835" i="1"/>
  <c r="A836" i="1"/>
  <c r="C836" i="1"/>
  <c r="S836" i="1"/>
  <c r="T836" i="1"/>
  <c r="U836" i="1"/>
  <c r="BB836" i="1"/>
  <c r="BW836" i="1"/>
  <c r="A837" i="1"/>
  <c r="C837" i="1"/>
  <c r="S837" i="1"/>
  <c r="T837" i="1"/>
  <c r="U837" i="1"/>
  <c r="BB837" i="1"/>
  <c r="BW837" i="1"/>
  <c r="A838" i="1"/>
  <c r="C838" i="1"/>
  <c r="S838" i="1"/>
  <c r="T838" i="1"/>
  <c r="U838" i="1"/>
  <c r="BB838" i="1"/>
  <c r="BW838" i="1"/>
  <c r="A839" i="1"/>
  <c r="C839" i="1"/>
  <c r="S839" i="1"/>
  <c r="T839" i="1"/>
  <c r="U839" i="1"/>
  <c r="BB839" i="1"/>
  <c r="BW839" i="1"/>
  <c r="A840" i="1"/>
  <c r="C840" i="1"/>
  <c r="S840" i="1"/>
  <c r="T840" i="1"/>
  <c r="U840" i="1"/>
  <c r="BB840" i="1"/>
  <c r="BW840" i="1"/>
  <c r="A841" i="1"/>
  <c r="C841" i="1"/>
  <c r="S841" i="1"/>
  <c r="T841" i="1"/>
  <c r="U841" i="1"/>
  <c r="BB841" i="1"/>
  <c r="BW841" i="1"/>
  <c r="A842" i="1"/>
  <c r="C842" i="1"/>
  <c r="S842" i="1"/>
  <c r="T842" i="1"/>
  <c r="U842" i="1"/>
  <c r="BB842" i="1"/>
  <c r="BW842" i="1"/>
  <c r="A843" i="1"/>
  <c r="C843" i="1"/>
  <c r="S843" i="1"/>
  <c r="T843" i="1"/>
  <c r="U843" i="1"/>
  <c r="BB843" i="1"/>
  <c r="BW843" i="1"/>
  <c r="A844" i="1"/>
  <c r="C844" i="1"/>
  <c r="S844" i="1"/>
  <c r="T844" i="1"/>
  <c r="U844" i="1"/>
  <c r="BB844" i="1"/>
  <c r="BW844" i="1"/>
  <c r="A845" i="1"/>
  <c r="C845" i="1"/>
  <c r="S845" i="1"/>
  <c r="T845" i="1"/>
  <c r="U845" i="1"/>
  <c r="BB845" i="1"/>
  <c r="BW845" i="1"/>
  <c r="A846" i="1"/>
  <c r="C846" i="1"/>
  <c r="S846" i="1"/>
  <c r="T846" i="1"/>
  <c r="U846" i="1"/>
  <c r="BB846" i="1"/>
  <c r="BW846" i="1"/>
  <c r="A847" i="1"/>
  <c r="C847" i="1"/>
  <c r="S847" i="1"/>
  <c r="T847" i="1"/>
  <c r="U847" i="1"/>
  <c r="BB847" i="1"/>
  <c r="BW847" i="1"/>
  <c r="A848" i="1"/>
  <c r="C848" i="1"/>
  <c r="S848" i="1"/>
  <c r="T848" i="1"/>
  <c r="U848" i="1"/>
  <c r="BB848" i="1"/>
  <c r="BW848" i="1"/>
  <c r="A849" i="1"/>
  <c r="C849" i="1"/>
  <c r="S849" i="1"/>
  <c r="T849" i="1"/>
  <c r="U849" i="1"/>
  <c r="BB849" i="1"/>
  <c r="BW849" i="1"/>
  <c r="A850" i="1"/>
  <c r="C850" i="1"/>
  <c r="S850" i="1"/>
  <c r="T850" i="1"/>
  <c r="U850" i="1"/>
  <c r="BB850" i="1"/>
  <c r="BW850" i="1"/>
  <c r="A851" i="1"/>
  <c r="C851" i="1"/>
  <c r="S851" i="1"/>
  <c r="T851" i="1"/>
  <c r="U851" i="1"/>
  <c r="BB851" i="1"/>
  <c r="BW851" i="1"/>
  <c r="A852" i="1"/>
  <c r="C852" i="1"/>
  <c r="S852" i="1"/>
  <c r="T852" i="1"/>
  <c r="U852" i="1"/>
  <c r="BB852" i="1"/>
  <c r="BW852" i="1"/>
  <c r="A853" i="1"/>
  <c r="C853" i="1"/>
  <c r="S853" i="1"/>
  <c r="T853" i="1"/>
  <c r="U853" i="1"/>
  <c r="BB853" i="1"/>
  <c r="BW853" i="1"/>
  <c r="A854" i="1"/>
  <c r="C854" i="1"/>
  <c r="S854" i="1"/>
  <c r="T854" i="1"/>
  <c r="U854" i="1"/>
  <c r="BB854" i="1"/>
  <c r="BW854" i="1"/>
  <c r="A855" i="1"/>
  <c r="C855" i="1"/>
  <c r="S855" i="1"/>
  <c r="T855" i="1"/>
  <c r="U855" i="1"/>
  <c r="BB855" i="1"/>
  <c r="BW855" i="1"/>
  <c r="A856" i="1"/>
  <c r="C856" i="1"/>
  <c r="S856" i="1"/>
  <c r="T856" i="1"/>
  <c r="U856" i="1"/>
  <c r="BB856" i="1"/>
  <c r="BW856" i="1"/>
  <c r="A857" i="1"/>
  <c r="C857" i="1"/>
  <c r="S857" i="1"/>
  <c r="T857" i="1"/>
  <c r="U857" i="1"/>
  <c r="BB857" i="1"/>
  <c r="BW857" i="1"/>
  <c r="A858" i="1"/>
  <c r="C858" i="1"/>
  <c r="S858" i="1"/>
  <c r="T858" i="1"/>
  <c r="U858" i="1"/>
  <c r="BB858" i="1"/>
  <c r="BW858" i="1"/>
  <c r="A859" i="1"/>
  <c r="C859" i="1"/>
  <c r="S859" i="1"/>
  <c r="T859" i="1"/>
  <c r="U859" i="1"/>
  <c r="BB859" i="1"/>
  <c r="BW859" i="1"/>
  <c r="A860" i="1"/>
  <c r="C860" i="1"/>
  <c r="S860" i="1"/>
  <c r="T860" i="1"/>
  <c r="U860" i="1"/>
  <c r="BB860" i="1"/>
  <c r="BW860" i="1"/>
  <c r="A861" i="1"/>
  <c r="C861" i="1"/>
  <c r="S861" i="1"/>
  <c r="T861" i="1"/>
  <c r="U861" i="1"/>
  <c r="BB861" i="1"/>
  <c r="BW861" i="1"/>
  <c r="A862" i="1"/>
  <c r="C862" i="1"/>
  <c r="S862" i="1"/>
  <c r="T862" i="1"/>
  <c r="U862" i="1"/>
  <c r="BB862" i="1"/>
  <c r="BW862" i="1"/>
  <c r="A863" i="1"/>
  <c r="C863" i="1"/>
  <c r="S863" i="1"/>
  <c r="T863" i="1"/>
  <c r="U863" i="1"/>
  <c r="BB863" i="1"/>
  <c r="BW863" i="1"/>
  <c r="A864" i="1"/>
  <c r="C864" i="1"/>
  <c r="S864" i="1"/>
  <c r="T864" i="1"/>
  <c r="U864" i="1"/>
  <c r="BB864" i="1"/>
  <c r="BW864" i="1"/>
  <c r="A865" i="1"/>
  <c r="C865" i="1"/>
  <c r="S865" i="1"/>
  <c r="T865" i="1"/>
  <c r="U865" i="1"/>
  <c r="BB865" i="1"/>
  <c r="BW865" i="1"/>
  <c r="A866" i="1"/>
  <c r="C866" i="1"/>
  <c r="S866" i="1"/>
  <c r="T866" i="1"/>
  <c r="U866" i="1"/>
  <c r="BB866" i="1"/>
  <c r="BW866" i="1"/>
  <c r="A867" i="1"/>
  <c r="C867" i="1"/>
  <c r="S867" i="1"/>
  <c r="T867" i="1"/>
  <c r="U867" i="1"/>
  <c r="BB867" i="1"/>
  <c r="BW867" i="1"/>
  <c r="A868" i="1"/>
  <c r="C868" i="1"/>
  <c r="S868" i="1"/>
  <c r="T868" i="1"/>
  <c r="U868" i="1"/>
  <c r="BB868" i="1"/>
  <c r="BW868" i="1"/>
  <c r="A869" i="1"/>
  <c r="C869" i="1"/>
  <c r="S869" i="1"/>
  <c r="T869" i="1"/>
  <c r="U869" i="1"/>
  <c r="BB869" i="1"/>
  <c r="BW869" i="1"/>
  <c r="A870" i="1"/>
  <c r="C870" i="1"/>
  <c r="S870" i="1"/>
  <c r="T870" i="1"/>
  <c r="U870" i="1"/>
  <c r="BB870" i="1"/>
  <c r="BW870" i="1"/>
  <c r="A871" i="1"/>
  <c r="C871" i="1"/>
  <c r="S871" i="1"/>
  <c r="T871" i="1"/>
  <c r="U871" i="1"/>
  <c r="BB871" i="1"/>
  <c r="BW871" i="1"/>
  <c r="A872" i="1"/>
  <c r="C872" i="1"/>
  <c r="S872" i="1"/>
  <c r="T872" i="1"/>
  <c r="U872" i="1"/>
  <c r="BB872" i="1"/>
  <c r="BW872" i="1"/>
  <c r="A873" i="1"/>
  <c r="C873" i="1"/>
  <c r="S873" i="1"/>
  <c r="T873" i="1"/>
  <c r="U873" i="1"/>
  <c r="BB873" i="1"/>
  <c r="BW873" i="1"/>
  <c r="A874" i="1"/>
  <c r="C874" i="1"/>
  <c r="S874" i="1"/>
  <c r="T874" i="1"/>
  <c r="U874" i="1"/>
  <c r="BB874" i="1"/>
  <c r="BW874" i="1"/>
  <c r="A875" i="1"/>
  <c r="C875" i="1"/>
  <c r="S875" i="1"/>
  <c r="T875" i="1"/>
  <c r="U875" i="1"/>
  <c r="BB875" i="1"/>
  <c r="BW875" i="1"/>
  <c r="A876" i="1"/>
  <c r="C876" i="1"/>
  <c r="S876" i="1"/>
  <c r="T876" i="1"/>
  <c r="U876" i="1"/>
  <c r="BB876" i="1"/>
  <c r="BW876" i="1"/>
  <c r="A877" i="1"/>
  <c r="C877" i="1"/>
  <c r="S877" i="1"/>
  <c r="T877" i="1"/>
  <c r="U877" i="1"/>
  <c r="BB877" i="1"/>
  <c r="BW877" i="1"/>
  <c r="A878" i="1"/>
  <c r="C878" i="1"/>
  <c r="S878" i="1"/>
  <c r="T878" i="1"/>
  <c r="U878" i="1"/>
  <c r="BB878" i="1"/>
  <c r="BW878" i="1"/>
  <c r="A879" i="1"/>
  <c r="C879" i="1"/>
  <c r="S879" i="1"/>
  <c r="T879" i="1"/>
  <c r="U879" i="1"/>
  <c r="BB879" i="1"/>
  <c r="BW879" i="1"/>
  <c r="A880" i="1"/>
  <c r="C880" i="1"/>
  <c r="S880" i="1"/>
  <c r="T880" i="1"/>
  <c r="U880" i="1"/>
  <c r="BB880" i="1"/>
  <c r="BW880" i="1"/>
  <c r="A881" i="1"/>
  <c r="C881" i="1"/>
  <c r="S881" i="1"/>
  <c r="T881" i="1"/>
  <c r="U881" i="1"/>
  <c r="BB881" i="1"/>
  <c r="BW881" i="1"/>
  <c r="A882" i="1"/>
  <c r="C882" i="1"/>
  <c r="S882" i="1"/>
  <c r="T882" i="1"/>
  <c r="U882" i="1"/>
  <c r="BB882" i="1"/>
  <c r="BW882" i="1"/>
  <c r="A883" i="1"/>
  <c r="C883" i="1"/>
  <c r="S883" i="1"/>
  <c r="T883" i="1"/>
  <c r="U883" i="1"/>
  <c r="BB883" i="1"/>
  <c r="BW883" i="1"/>
  <c r="A884" i="1"/>
  <c r="C884" i="1"/>
  <c r="S884" i="1"/>
  <c r="T884" i="1"/>
  <c r="U884" i="1"/>
  <c r="BB884" i="1"/>
  <c r="BW884" i="1"/>
  <c r="A885" i="1"/>
  <c r="C885" i="1"/>
  <c r="S885" i="1"/>
  <c r="T885" i="1"/>
  <c r="U885" i="1"/>
  <c r="BB885" i="1"/>
  <c r="BW885" i="1"/>
  <c r="A886" i="1"/>
  <c r="C886" i="1"/>
  <c r="S886" i="1"/>
  <c r="T886" i="1"/>
  <c r="U886" i="1"/>
  <c r="BB886" i="1"/>
  <c r="BW886" i="1"/>
  <c r="A887" i="1"/>
  <c r="C887" i="1"/>
  <c r="S887" i="1"/>
  <c r="T887" i="1"/>
  <c r="U887" i="1"/>
  <c r="BB887" i="1"/>
  <c r="BW887" i="1"/>
  <c r="A888" i="1"/>
  <c r="C888" i="1"/>
  <c r="S888" i="1"/>
  <c r="T888" i="1"/>
  <c r="U888" i="1"/>
  <c r="BB888" i="1"/>
  <c r="BW888" i="1"/>
  <c r="A889" i="1"/>
  <c r="C889" i="1"/>
  <c r="S889" i="1"/>
  <c r="T889" i="1"/>
  <c r="U889" i="1"/>
  <c r="BB889" i="1"/>
  <c r="BW889" i="1"/>
  <c r="A890" i="1"/>
  <c r="C890" i="1"/>
  <c r="S890" i="1"/>
  <c r="T890" i="1"/>
  <c r="U890" i="1"/>
  <c r="BB890" i="1"/>
  <c r="BW890" i="1"/>
  <c r="A891" i="1"/>
  <c r="C891" i="1"/>
  <c r="S891" i="1"/>
  <c r="T891" i="1"/>
  <c r="U891" i="1"/>
  <c r="BB891" i="1"/>
  <c r="BW891" i="1"/>
  <c r="A892" i="1"/>
  <c r="C892" i="1"/>
  <c r="S892" i="1"/>
  <c r="T892" i="1"/>
  <c r="U892" i="1"/>
  <c r="BB892" i="1"/>
  <c r="BW892" i="1"/>
  <c r="A893" i="1"/>
  <c r="C893" i="1"/>
  <c r="S893" i="1"/>
  <c r="T893" i="1"/>
  <c r="U893" i="1"/>
  <c r="BB893" i="1"/>
  <c r="BW893" i="1"/>
  <c r="A894" i="1"/>
  <c r="C894" i="1"/>
  <c r="S894" i="1"/>
  <c r="T894" i="1"/>
  <c r="U894" i="1"/>
  <c r="BB894" i="1"/>
  <c r="BW894" i="1"/>
  <c r="A895" i="1"/>
  <c r="C895" i="1"/>
  <c r="S895" i="1"/>
  <c r="T895" i="1"/>
  <c r="U895" i="1"/>
  <c r="BB895" i="1"/>
  <c r="BW895" i="1"/>
  <c r="A896" i="1"/>
  <c r="C896" i="1"/>
  <c r="S896" i="1"/>
  <c r="T896" i="1"/>
  <c r="U896" i="1"/>
  <c r="BB896" i="1"/>
  <c r="BW896" i="1"/>
  <c r="A897" i="1"/>
  <c r="C897" i="1"/>
  <c r="S897" i="1"/>
  <c r="T897" i="1"/>
  <c r="U897" i="1"/>
  <c r="BB897" i="1"/>
  <c r="BW897" i="1"/>
  <c r="A898" i="1"/>
  <c r="C898" i="1"/>
  <c r="S898" i="1"/>
  <c r="T898" i="1"/>
  <c r="U898" i="1"/>
  <c r="BB898" i="1"/>
  <c r="BW898" i="1"/>
  <c r="A899" i="1"/>
  <c r="C899" i="1"/>
  <c r="S899" i="1"/>
  <c r="T899" i="1"/>
  <c r="U899" i="1"/>
  <c r="BB899" i="1"/>
  <c r="BW899" i="1"/>
  <c r="A900" i="1"/>
  <c r="C900" i="1"/>
  <c r="S900" i="1"/>
  <c r="T900" i="1"/>
  <c r="U900" i="1"/>
  <c r="BB900" i="1"/>
  <c r="BW900" i="1"/>
  <c r="A901" i="1"/>
  <c r="C901" i="1"/>
  <c r="S901" i="1"/>
  <c r="T901" i="1"/>
  <c r="U901" i="1"/>
  <c r="BB901" i="1"/>
  <c r="BW901" i="1"/>
  <c r="A902" i="1"/>
  <c r="C902" i="1"/>
  <c r="S902" i="1"/>
  <c r="T902" i="1"/>
  <c r="U902" i="1"/>
  <c r="BB902" i="1"/>
  <c r="BW902" i="1"/>
  <c r="A903" i="1"/>
  <c r="C903" i="1"/>
  <c r="S903" i="1"/>
  <c r="T903" i="1"/>
  <c r="U903" i="1"/>
  <c r="BB903" i="1"/>
  <c r="BW903" i="1"/>
  <c r="A904" i="1"/>
  <c r="C904" i="1"/>
  <c r="S904" i="1"/>
  <c r="T904" i="1"/>
  <c r="U904" i="1"/>
  <c r="BB904" i="1"/>
  <c r="BW904" i="1"/>
  <c r="A905" i="1"/>
  <c r="C905" i="1"/>
  <c r="S905" i="1"/>
  <c r="T905" i="1"/>
  <c r="U905" i="1"/>
  <c r="BB905" i="1"/>
  <c r="BW905" i="1"/>
  <c r="A906" i="1"/>
  <c r="C906" i="1"/>
  <c r="S906" i="1"/>
  <c r="T906" i="1"/>
  <c r="U906" i="1"/>
  <c r="BB906" i="1"/>
  <c r="BW906" i="1"/>
  <c r="A907" i="1"/>
  <c r="C907" i="1"/>
  <c r="S907" i="1"/>
  <c r="T907" i="1"/>
  <c r="U907" i="1"/>
  <c r="BB907" i="1"/>
  <c r="BW907" i="1"/>
  <c r="A908" i="1"/>
  <c r="C908" i="1"/>
  <c r="S908" i="1"/>
  <c r="T908" i="1"/>
  <c r="U908" i="1"/>
  <c r="BB908" i="1"/>
  <c r="BW908" i="1"/>
  <c r="A909" i="1"/>
  <c r="C909" i="1"/>
  <c r="S909" i="1"/>
  <c r="T909" i="1"/>
  <c r="U909" i="1"/>
  <c r="BB909" i="1"/>
  <c r="BW909" i="1"/>
  <c r="A910" i="1"/>
  <c r="C910" i="1"/>
  <c r="S910" i="1"/>
  <c r="T910" i="1"/>
  <c r="U910" i="1"/>
  <c r="BB910" i="1"/>
  <c r="BW910" i="1"/>
  <c r="A911" i="1"/>
  <c r="C911" i="1"/>
  <c r="S911" i="1"/>
  <c r="T911" i="1"/>
  <c r="U911" i="1"/>
  <c r="BB911" i="1"/>
  <c r="BW911" i="1"/>
  <c r="A912" i="1"/>
  <c r="C912" i="1"/>
  <c r="S912" i="1"/>
  <c r="T912" i="1"/>
  <c r="U912" i="1"/>
  <c r="BB912" i="1"/>
  <c r="BW912" i="1"/>
  <c r="A913" i="1"/>
  <c r="C913" i="1"/>
  <c r="S913" i="1"/>
  <c r="T913" i="1"/>
  <c r="U913" i="1"/>
  <c r="BB913" i="1"/>
  <c r="BW913" i="1"/>
  <c r="A914" i="1"/>
  <c r="C914" i="1"/>
  <c r="S914" i="1"/>
  <c r="T914" i="1"/>
  <c r="U914" i="1"/>
  <c r="BB914" i="1"/>
  <c r="BW914" i="1"/>
  <c r="A915" i="1"/>
  <c r="C915" i="1"/>
  <c r="S915" i="1"/>
  <c r="T915" i="1"/>
  <c r="U915" i="1"/>
  <c r="BB915" i="1"/>
  <c r="BW915" i="1"/>
  <c r="A916" i="1"/>
  <c r="C916" i="1"/>
  <c r="S916" i="1"/>
  <c r="T916" i="1"/>
  <c r="U916" i="1"/>
  <c r="BB916" i="1"/>
  <c r="BW916" i="1"/>
  <c r="A917" i="1"/>
  <c r="C917" i="1"/>
  <c r="S917" i="1"/>
  <c r="T917" i="1"/>
  <c r="U917" i="1"/>
  <c r="BB917" i="1"/>
  <c r="BW917" i="1"/>
  <c r="A918" i="1"/>
  <c r="C918" i="1"/>
  <c r="S918" i="1"/>
  <c r="T918" i="1"/>
  <c r="U918" i="1"/>
  <c r="BB918" i="1"/>
  <c r="BW918" i="1"/>
  <c r="A919" i="1"/>
  <c r="C919" i="1"/>
  <c r="S919" i="1"/>
  <c r="T919" i="1"/>
  <c r="U919" i="1"/>
  <c r="BB919" i="1"/>
  <c r="BW919" i="1"/>
  <c r="A920" i="1"/>
  <c r="C920" i="1"/>
  <c r="S920" i="1"/>
  <c r="T920" i="1"/>
  <c r="U920" i="1"/>
  <c r="BB920" i="1"/>
  <c r="BW920" i="1"/>
  <c r="A921" i="1"/>
  <c r="C921" i="1"/>
  <c r="S921" i="1"/>
  <c r="T921" i="1"/>
  <c r="U921" i="1"/>
  <c r="BB921" i="1"/>
  <c r="BW921" i="1"/>
  <c r="A922" i="1"/>
  <c r="C922" i="1"/>
  <c r="S922" i="1"/>
  <c r="T922" i="1"/>
  <c r="U922" i="1"/>
  <c r="BB922" i="1"/>
  <c r="BW922" i="1"/>
  <c r="A923" i="1"/>
  <c r="C923" i="1"/>
  <c r="S923" i="1"/>
  <c r="T923" i="1"/>
  <c r="U923" i="1"/>
  <c r="BB923" i="1"/>
  <c r="BW923" i="1"/>
  <c r="A924" i="1"/>
  <c r="C924" i="1"/>
  <c r="S924" i="1"/>
  <c r="T924" i="1"/>
  <c r="U924" i="1"/>
  <c r="BB924" i="1"/>
  <c r="BW924" i="1"/>
  <c r="A925" i="1"/>
  <c r="C925" i="1"/>
  <c r="S925" i="1"/>
  <c r="T925" i="1"/>
  <c r="U925" i="1"/>
  <c r="BB925" i="1"/>
  <c r="BW925" i="1"/>
  <c r="A926" i="1"/>
  <c r="C926" i="1"/>
  <c r="S926" i="1"/>
  <c r="T926" i="1"/>
  <c r="U926" i="1"/>
  <c r="BB926" i="1"/>
  <c r="BW926" i="1"/>
  <c r="A927" i="1"/>
  <c r="C927" i="1"/>
  <c r="S927" i="1"/>
  <c r="T927" i="1"/>
  <c r="U927" i="1"/>
  <c r="BB927" i="1"/>
  <c r="BW927" i="1"/>
  <c r="A928" i="1"/>
  <c r="C928" i="1"/>
  <c r="S928" i="1"/>
  <c r="T928" i="1"/>
  <c r="U928" i="1"/>
  <c r="BB928" i="1"/>
  <c r="BW928" i="1"/>
  <c r="A929" i="1"/>
  <c r="C929" i="1"/>
  <c r="S929" i="1"/>
  <c r="T929" i="1"/>
  <c r="U929" i="1"/>
  <c r="BB929" i="1"/>
  <c r="BW929" i="1"/>
  <c r="A930" i="1"/>
  <c r="C930" i="1"/>
  <c r="S930" i="1"/>
  <c r="T930" i="1"/>
  <c r="U930" i="1"/>
  <c r="BB930" i="1"/>
  <c r="BW930" i="1"/>
  <c r="A931" i="1"/>
  <c r="C931" i="1"/>
  <c r="S931" i="1"/>
  <c r="T931" i="1"/>
  <c r="U931" i="1"/>
  <c r="BB931" i="1"/>
  <c r="BW931" i="1"/>
  <c r="A932" i="1"/>
  <c r="C932" i="1"/>
  <c r="S932" i="1"/>
  <c r="T932" i="1"/>
  <c r="U932" i="1"/>
  <c r="BB932" i="1"/>
  <c r="BW932" i="1"/>
  <c r="A933" i="1"/>
  <c r="C933" i="1"/>
  <c r="S933" i="1"/>
  <c r="T933" i="1"/>
  <c r="U933" i="1"/>
  <c r="BB933" i="1"/>
  <c r="BW933" i="1"/>
  <c r="A934" i="1"/>
  <c r="C934" i="1"/>
  <c r="S934" i="1"/>
  <c r="T934" i="1"/>
  <c r="U934" i="1"/>
  <c r="BB934" i="1"/>
  <c r="BW934" i="1"/>
  <c r="A935" i="1"/>
  <c r="C935" i="1"/>
  <c r="S935" i="1"/>
  <c r="T935" i="1"/>
  <c r="U935" i="1"/>
  <c r="BB935" i="1"/>
  <c r="BW935" i="1"/>
  <c r="A936" i="1"/>
  <c r="C936" i="1"/>
  <c r="S936" i="1"/>
  <c r="T936" i="1"/>
  <c r="U936" i="1"/>
  <c r="BB936" i="1"/>
  <c r="BW936" i="1"/>
  <c r="A937" i="1"/>
  <c r="C937" i="1"/>
  <c r="S937" i="1"/>
  <c r="T937" i="1"/>
  <c r="U937" i="1"/>
  <c r="BB937" i="1"/>
  <c r="BW937" i="1"/>
  <c r="A938" i="1"/>
  <c r="C938" i="1"/>
  <c r="S938" i="1"/>
  <c r="T938" i="1"/>
  <c r="U938" i="1"/>
  <c r="BB938" i="1"/>
  <c r="BW938" i="1"/>
  <c r="A939" i="1"/>
  <c r="C939" i="1"/>
  <c r="S939" i="1"/>
  <c r="T939" i="1"/>
  <c r="U939" i="1"/>
  <c r="BB939" i="1"/>
  <c r="BW939" i="1"/>
  <c r="A940" i="1"/>
  <c r="C940" i="1"/>
  <c r="S940" i="1"/>
  <c r="T940" i="1"/>
  <c r="U940" i="1"/>
  <c r="BB940" i="1"/>
  <c r="BW940" i="1"/>
  <c r="A941" i="1"/>
  <c r="C941" i="1"/>
  <c r="S941" i="1"/>
  <c r="T941" i="1"/>
  <c r="U941" i="1"/>
  <c r="BB941" i="1"/>
  <c r="BW941" i="1"/>
  <c r="A942" i="1"/>
  <c r="C942" i="1"/>
  <c r="S942" i="1"/>
  <c r="T942" i="1"/>
  <c r="U942" i="1"/>
  <c r="BB942" i="1"/>
  <c r="BW942" i="1"/>
  <c r="A943" i="1"/>
  <c r="C943" i="1"/>
  <c r="S943" i="1"/>
  <c r="T943" i="1"/>
  <c r="U943" i="1"/>
  <c r="BB943" i="1"/>
  <c r="BW943" i="1"/>
  <c r="A944" i="1"/>
  <c r="C944" i="1"/>
  <c r="S944" i="1"/>
  <c r="T944" i="1"/>
  <c r="U944" i="1"/>
  <c r="BB944" i="1"/>
  <c r="BW944" i="1"/>
  <c r="A945" i="1"/>
  <c r="C945" i="1"/>
  <c r="S945" i="1"/>
  <c r="T945" i="1"/>
  <c r="U945" i="1"/>
  <c r="BB945" i="1"/>
  <c r="BW945" i="1"/>
  <c r="A946" i="1"/>
  <c r="C946" i="1"/>
  <c r="S946" i="1"/>
  <c r="T946" i="1"/>
  <c r="U946" i="1"/>
  <c r="BB946" i="1"/>
  <c r="BW946" i="1"/>
  <c r="A947" i="1"/>
  <c r="C947" i="1"/>
  <c r="S947" i="1"/>
  <c r="T947" i="1"/>
  <c r="U947" i="1"/>
  <c r="BB947" i="1"/>
  <c r="BW947" i="1"/>
  <c r="A948" i="1"/>
  <c r="C948" i="1"/>
  <c r="S948" i="1"/>
  <c r="T948" i="1"/>
  <c r="U948" i="1"/>
  <c r="BB948" i="1"/>
  <c r="BW948" i="1"/>
  <c r="A949" i="1"/>
  <c r="C949" i="1"/>
  <c r="S949" i="1"/>
  <c r="T949" i="1"/>
  <c r="U949" i="1"/>
  <c r="BB949" i="1"/>
  <c r="BW949" i="1"/>
  <c r="A950" i="1"/>
  <c r="C950" i="1"/>
  <c r="S950" i="1"/>
  <c r="T950" i="1"/>
  <c r="U950" i="1"/>
  <c r="BB950" i="1"/>
  <c r="BW950" i="1"/>
  <c r="A951" i="1"/>
  <c r="C951" i="1"/>
  <c r="S951" i="1"/>
  <c r="T951" i="1"/>
  <c r="U951" i="1"/>
  <c r="BB951" i="1"/>
  <c r="BW951" i="1"/>
  <c r="A952" i="1"/>
  <c r="C952" i="1"/>
  <c r="S952" i="1"/>
  <c r="T952" i="1"/>
  <c r="U952" i="1"/>
  <c r="BB952" i="1"/>
  <c r="BW952" i="1"/>
  <c r="A953" i="1"/>
  <c r="C953" i="1"/>
  <c r="S953" i="1"/>
  <c r="T953" i="1"/>
  <c r="U953" i="1"/>
  <c r="BB953" i="1"/>
  <c r="BW953" i="1"/>
  <c r="A954" i="1"/>
  <c r="C954" i="1"/>
  <c r="S954" i="1"/>
  <c r="T954" i="1"/>
  <c r="U954" i="1"/>
  <c r="BB954" i="1"/>
  <c r="BW954" i="1"/>
  <c r="A955" i="1"/>
  <c r="C955" i="1"/>
  <c r="S955" i="1"/>
  <c r="T955" i="1"/>
  <c r="U955" i="1"/>
  <c r="BB955" i="1"/>
  <c r="BW955" i="1"/>
  <c r="A956" i="1"/>
  <c r="C956" i="1"/>
  <c r="S956" i="1"/>
  <c r="T956" i="1"/>
  <c r="U956" i="1"/>
  <c r="BB956" i="1"/>
  <c r="BW956" i="1"/>
  <c r="A957" i="1"/>
  <c r="C957" i="1"/>
  <c r="S957" i="1"/>
  <c r="T957" i="1"/>
  <c r="U957" i="1"/>
  <c r="BB957" i="1"/>
  <c r="BW957" i="1"/>
  <c r="A958" i="1"/>
  <c r="C958" i="1"/>
  <c r="S958" i="1"/>
  <c r="T958" i="1"/>
  <c r="U958" i="1"/>
  <c r="BB958" i="1"/>
  <c r="BW958" i="1"/>
  <c r="A959" i="1"/>
  <c r="C959" i="1"/>
  <c r="S959" i="1"/>
  <c r="T959" i="1"/>
  <c r="U959" i="1"/>
  <c r="BB959" i="1"/>
  <c r="BW959" i="1"/>
  <c r="A960" i="1"/>
  <c r="C960" i="1"/>
  <c r="S960" i="1"/>
  <c r="T960" i="1"/>
  <c r="U960" i="1"/>
  <c r="BB960" i="1"/>
  <c r="BW960" i="1"/>
  <c r="A961" i="1"/>
  <c r="C961" i="1"/>
  <c r="S961" i="1"/>
  <c r="T961" i="1"/>
  <c r="U961" i="1"/>
  <c r="BB961" i="1"/>
  <c r="BW961" i="1"/>
  <c r="A962" i="1"/>
  <c r="C962" i="1"/>
  <c r="S962" i="1"/>
  <c r="T962" i="1"/>
  <c r="U962" i="1"/>
  <c r="BB962" i="1"/>
  <c r="BW962" i="1"/>
  <c r="A963" i="1"/>
  <c r="C963" i="1"/>
  <c r="S963" i="1"/>
  <c r="T963" i="1"/>
  <c r="U963" i="1"/>
  <c r="BB963" i="1"/>
  <c r="BW963" i="1"/>
  <c r="A964" i="1"/>
  <c r="C964" i="1"/>
  <c r="S964" i="1"/>
  <c r="T964" i="1"/>
  <c r="U964" i="1"/>
  <c r="BB964" i="1"/>
  <c r="BW964" i="1"/>
  <c r="A965" i="1"/>
  <c r="C965" i="1"/>
  <c r="S965" i="1"/>
  <c r="T965" i="1"/>
  <c r="U965" i="1"/>
  <c r="BB965" i="1"/>
  <c r="BW965" i="1"/>
  <c r="A966" i="1"/>
  <c r="C966" i="1"/>
  <c r="S966" i="1"/>
  <c r="T966" i="1"/>
  <c r="U966" i="1"/>
  <c r="BB966" i="1"/>
  <c r="BW966" i="1"/>
  <c r="A967" i="1"/>
  <c r="C967" i="1"/>
  <c r="S967" i="1"/>
  <c r="T967" i="1"/>
  <c r="U967" i="1"/>
  <c r="BB967" i="1"/>
  <c r="BW967" i="1"/>
  <c r="A968" i="1"/>
  <c r="C968" i="1"/>
  <c r="S968" i="1"/>
  <c r="T968" i="1"/>
  <c r="U968" i="1"/>
  <c r="BB968" i="1"/>
  <c r="BW968" i="1"/>
  <c r="A969" i="1"/>
  <c r="C969" i="1"/>
  <c r="S969" i="1"/>
  <c r="T969" i="1"/>
  <c r="U969" i="1"/>
  <c r="BB969" i="1"/>
  <c r="BW969" i="1"/>
  <c r="A970" i="1"/>
  <c r="C970" i="1"/>
  <c r="S970" i="1"/>
  <c r="T970" i="1"/>
  <c r="U970" i="1"/>
  <c r="BB970" i="1"/>
  <c r="BW970" i="1"/>
  <c r="A971" i="1"/>
  <c r="C971" i="1"/>
  <c r="S971" i="1"/>
  <c r="T971" i="1"/>
  <c r="U971" i="1"/>
  <c r="BB971" i="1"/>
  <c r="BW971" i="1"/>
  <c r="A972" i="1"/>
  <c r="C972" i="1"/>
  <c r="S972" i="1"/>
  <c r="T972" i="1"/>
  <c r="U972" i="1"/>
  <c r="BB972" i="1"/>
  <c r="BW972" i="1"/>
  <c r="A973" i="1"/>
  <c r="C973" i="1"/>
  <c r="S973" i="1"/>
  <c r="T973" i="1"/>
  <c r="U973" i="1"/>
  <c r="BB973" i="1"/>
  <c r="BW973" i="1"/>
  <c r="A974" i="1"/>
  <c r="C974" i="1"/>
  <c r="S974" i="1"/>
  <c r="T974" i="1"/>
  <c r="U974" i="1"/>
  <c r="BB974" i="1"/>
  <c r="BW974" i="1"/>
  <c r="A975" i="1"/>
  <c r="C975" i="1"/>
  <c r="S975" i="1"/>
  <c r="T975" i="1"/>
  <c r="U975" i="1"/>
  <c r="BB975" i="1"/>
  <c r="BW975" i="1"/>
  <c r="A976" i="1"/>
  <c r="C976" i="1"/>
  <c r="S976" i="1"/>
  <c r="T976" i="1"/>
  <c r="U976" i="1"/>
  <c r="BB976" i="1"/>
  <c r="BW976" i="1"/>
  <c r="A977" i="1"/>
  <c r="C977" i="1"/>
  <c r="S977" i="1"/>
  <c r="T977" i="1"/>
  <c r="U977" i="1"/>
  <c r="BB977" i="1"/>
  <c r="BW977" i="1"/>
  <c r="A978" i="1"/>
  <c r="C978" i="1"/>
  <c r="S978" i="1"/>
  <c r="T978" i="1"/>
  <c r="U978" i="1"/>
  <c r="BB978" i="1"/>
  <c r="BW978" i="1"/>
  <c r="A979" i="1"/>
  <c r="C979" i="1"/>
  <c r="S979" i="1"/>
  <c r="T979" i="1"/>
  <c r="U979" i="1"/>
  <c r="BB979" i="1"/>
  <c r="BW979" i="1"/>
  <c r="A980" i="1"/>
  <c r="C980" i="1"/>
  <c r="S980" i="1"/>
  <c r="T980" i="1"/>
  <c r="U980" i="1"/>
  <c r="BB980" i="1"/>
  <c r="BW980" i="1"/>
  <c r="A981" i="1"/>
  <c r="C981" i="1"/>
  <c r="S981" i="1"/>
  <c r="T981" i="1"/>
  <c r="U981" i="1"/>
  <c r="BB981" i="1"/>
  <c r="BW981" i="1"/>
  <c r="A982" i="1"/>
  <c r="C982" i="1"/>
  <c r="S982" i="1"/>
  <c r="T982" i="1"/>
  <c r="U982" i="1"/>
  <c r="BB982" i="1"/>
  <c r="BW982" i="1"/>
  <c r="A983" i="1"/>
  <c r="C983" i="1"/>
  <c r="S983" i="1"/>
  <c r="T983" i="1"/>
  <c r="U983" i="1"/>
  <c r="BB983" i="1"/>
  <c r="BW983" i="1"/>
  <c r="A984" i="1"/>
  <c r="C984" i="1"/>
  <c r="S984" i="1"/>
  <c r="T984" i="1"/>
  <c r="U984" i="1"/>
  <c r="BB984" i="1"/>
  <c r="BW984" i="1"/>
  <c r="A985" i="1"/>
  <c r="C985" i="1"/>
  <c r="S985" i="1"/>
  <c r="T985" i="1"/>
  <c r="U985" i="1"/>
  <c r="BB985" i="1"/>
  <c r="BW985" i="1"/>
  <c r="A986" i="1"/>
  <c r="C986" i="1"/>
  <c r="S986" i="1"/>
  <c r="T986" i="1"/>
  <c r="U986" i="1"/>
  <c r="BB986" i="1"/>
  <c r="BW986" i="1"/>
  <c r="A987" i="1"/>
  <c r="C987" i="1"/>
  <c r="S987" i="1"/>
  <c r="T987" i="1"/>
  <c r="U987" i="1"/>
  <c r="BB987" i="1"/>
  <c r="BW987" i="1"/>
  <c r="A988" i="1"/>
  <c r="C988" i="1"/>
  <c r="S988" i="1"/>
  <c r="T988" i="1"/>
  <c r="U988" i="1"/>
  <c r="BB988" i="1"/>
  <c r="BW988" i="1"/>
  <c r="A989" i="1"/>
  <c r="C989" i="1"/>
  <c r="S989" i="1"/>
  <c r="T989" i="1"/>
  <c r="U989" i="1"/>
  <c r="BB989" i="1"/>
  <c r="BW989" i="1"/>
  <c r="A990" i="1"/>
  <c r="C990" i="1"/>
  <c r="S990" i="1"/>
  <c r="T990" i="1"/>
  <c r="U990" i="1"/>
  <c r="BB990" i="1"/>
  <c r="BW990" i="1"/>
  <c r="A991" i="1"/>
  <c r="C991" i="1"/>
  <c r="S991" i="1"/>
  <c r="T991" i="1"/>
  <c r="U991" i="1"/>
  <c r="BB991" i="1"/>
  <c r="BW991" i="1"/>
  <c r="A992" i="1"/>
  <c r="C992" i="1"/>
  <c r="S992" i="1"/>
  <c r="T992" i="1"/>
  <c r="U992" i="1"/>
  <c r="BB992" i="1"/>
  <c r="BW992" i="1"/>
  <c r="A993" i="1"/>
  <c r="C993" i="1"/>
  <c r="S993" i="1"/>
  <c r="T993" i="1"/>
  <c r="U993" i="1"/>
  <c r="BB993" i="1"/>
  <c r="BW993" i="1"/>
  <c r="A994" i="1"/>
  <c r="C994" i="1"/>
  <c r="S994" i="1"/>
  <c r="T994" i="1"/>
  <c r="U994" i="1"/>
  <c r="BB994" i="1"/>
  <c r="BW994" i="1"/>
  <c r="A995" i="1"/>
  <c r="C995" i="1"/>
  <c r="S995" i="1"/>
  <c r="T995" i="1"/>
  <c r="U995" i="1"/>
  <c r="BB995" i="1"/>
  <c r="BW995" i="1"/>
  <c r="A996" i="1"/>
  <c r="C996" i="1"/>
  <c r="S996" i="1"/>
  <c r="T996" i="1"/>
  <c r="U996" i="1"/>
  <c r="BB996" i="1"/>
  <c r="BW996" i="1"/>
  <c r="A997" i="1"/>
  <c r="C997" i="1"/>
  <c r="S997" i="1"/>
  <c r="T997" i="1"/>
  <c r="U997" i="1"/>
  <c r="BB997" i="1"/>
  <c r="BW997" i="1"/>
  <c r="A998" i="1"/>
  <c r="C998" i="1"/>
  <c r="S998" i="1"/>
  <c r="T998" i="1"/>
  <c r="U998" i="1"/>
  <c r="BB998" i="1"/>
  <c r="BW998" i="1"/>
  <c r="A999" i="1"/>
  <c r="C999" i="1"/>
  <c r="S999" i="1"/>
  <c r="T999" i="1"/>
  <c r="U999" i="1"/>
  <c r="BB999" i="1"/>
  <c r="BW999" i="1"/>
  <c r="A1000" i="1"/>
  <c r="C1000" i="1"/>
  <c r="S1000" i="1"/>
  <c r="T1000" i="1"/>
  <c r="U1000" i="1"/>
  <c r="BB1000" i="1"/>
  <c r="BW1000" i="1"/>
  <c r="A1001" i="1"/>
  <c r="C1001" i="1"/>
  <c r="S1001" i="1"/>
  <c r="T1001" i="1"/>
  <c r="U1001" i="1"/>
  <c r="BB1001" i="1"/>
  <c r="BW1001" i="1"/>
  <c r="A1002" i="1"/>
  <c r="C1002" i="1"/>
  <c r="S1002" i="1"/>
  <c r="T1002" i="1"/>
  <c r="U1002" i="1"/>
  <c r="BB1002" i="1"/>
  <c r="BW1002" i="1"/>
  <c r="A1003" i="1"/>
  <c r="C1003" i="1"/>
  <c r="S1003" i="1"/>
  <c r="T1003" i="1"/>
  <c r="U1003" i="1"/>
  <c r="BB1003" i="1"/>
  <c r="BW1003" i="1"/>
  <c r="A1004" i="1"/>
  <c r="C1004" i="1"/>
  <c r="S1004" i="1"/>
  <c r="T1004" i="1"/>
  <c r="U1004" i="1"/>
  <c r="BB1004" i="1"/>
  <c r="BW1004" i="1"/>
  <c r="A1005" i="1"/>
  <c r="C1005" i="1"/>
  <c r="S1005" i="1"/>
  <c r="T1005" i="1"/>
  <c r="U1005" i="1"/>
  <c r="BB1005" i="1"/>
  <c r="BW1005" i="1"/>
  <c r="A1006" i="1"/>
  <c r="C1006" i="1"/>
  <c r="S1006" i="1"/>
  <c r="T1006" i="1"/>
  <c r="U1006" i="1"/>
  <c r="BB1006" i="1"/>
  <c r="BW1006" i="1"/>
  <c r="A1007" i="1"/>
  <c r="C1007" i="1"/>
  <c r="S1007" i="1"/>
  <c r="T1007" i="1"/>
  <c r="U1007" i="1"/>
  <c r="BB1007" i="1"/>
  <c r="BW1007" i="1"/>
  <c r="A1008" i="1"/>
  <c r="C1008" i="1"/>
  <c r="S1008" i="1"/>
  <c r="T1008" i="1"/>
  <c r="U1008" i="1"/>
  <c r="BB1008" i="1"/>
  <c r="BW1008" i="1"/>
  <c r="A1009" i="1"/>
  <c r="C1009" i="1"/>
  <c r="S1009" i="1"/>
  <c r="T1009" i="1"/>
  <c r="U1009" i="1"/>
  <c r="BB1009" i="1"/>
  <c r="BW1009" i="1"/>
  <c r="A1010" i="1"/>
  <c r="C1010" i="1"/>
  <c r="S1010" i="1"/>
  <c r="T1010" i="1"/>
  <c r="U1010" i="1"/>
  <c r="BB1010" i="1"/>
  <c r="BW1010" i="1"/>
  <c r="A1011" i="1"/>
  <c r="C1011" i="1"/>
  <c r="S1011" i="1"/>
  <c r="T1011" i="1"/>
  <c r="U1011" i="1"/>
  <c r="BB1011" i="1"/>
  <c r="BW1011" i="1"/>
  <c r="A1012" i="1"/>
  <c r="C1012" i="1"/>
  <c r="S1012" i="1"/>
  <c r="T1012" i="1"/>
  <c r="U1012" i="1"/>
  <c r="BB1012" i="1"/>
  <c r="BW1012" i="1"/>
  <c r="A1013" i="1"/>
  <c r="C1013" i="1"/>
  <c r="S1013" i="1"/>
  <c r="T1013" i="1"/>
  <c r="U1013" i="1"/>
  <c r="BB1013" i="1"/>
  <c r="BW1013" i="1"/>
  <c r="A1014" i="1"/>
  <c r="C1014" i="1"/>
  <c r="S1014" i="1"/>
  <c r="T1014" i="1"/>
  <c r="U1014" i="1"/>
  <c r="BB1014" i="1"/>
  <c r="BW1014" i="1"/>
  <c r="A1015" i="1"/>
  <c r="C1015" i="1"/>
  <c r="S1015" i="1"/>
  <c r="T1015" i="1"/>
  <c r="U1015" i="1"/>
  <c r="BB1015" i="1"/>
  <c r="BW1015" i="1"/>
  <c r="A1016" i="1"/>
  <c r="C1016" i="1"/>
  <c r="S1016" i="1"/>
  <c r="T1016" i="1"/>
  <c r="U1016" i="1"/>
  <c r="BB1016" i="1"/>
  <c r="BW1016" i="1"/>
  <c r="A1017" i="1"/>
  <c r="C1017" i="1"/>
  <c r="S1017" i="1"/>
  <c r="T1017" i="1"/>
  <c r="U1017" i="1"/>
  <c r="BB1017" i="1"/>
  <c r="BW1017" i="1"/>
  <c r="A1018" i="1"/>
  <c r="C1018" i="1"/>
  <c r="S1018" i="1"/>
  <c r="T1018" i="1"/>
  <c r="U1018" i="1"/>
  <c r="BB1018" i="1"/>
  <c r="BW1018" i="1"/>
  <c r="A1019" i="1"/>
  <c r="C1019" i="1"/>
  <c r="S1019" i="1"/>
  <c r="T1019" i="1"/>
  <c r="U1019" i="1"/>
  <c r="BB1019" i="1"/>
  <c r="BW1019" i="1"/>
  <c r="A1020" i="1"/>
  <c r="C1020" i="1"/>
  <c r="S1020" i="1"/>
  <c r="T1020" i="1"/>
  <c r="U1020" i="1"/>
  <c r="BB1020" i="1"/>
  <c r="BW1020" i="1"/>
  <c r="A1021" i="1"/>
  <c r="C1021" i="1"/>
  <c r="S1021" i="1"/>
  <c r="T1021" i="1"/>
  <c r="U1021" i="1"/>
  <c r="BB1021" i="1"/>
  <c r="BW1021" i="1"/>
  <c r="A1022" i="1"/>
  <c r="C1022" i="1"/>
  <c r="S1022" i="1"/>
  <c r="T1022" i="1"/>
  <c r="U1022" i="1"/>
  <c r="BB1022" i="1"/>
  <c r="BW1022" i="1"/>
  <c r="A1023" i="1"/>
  <c r="C1023" i="1"/>
  <c r="S1023" i="1"/>
  <c r="T1023" i="1"/>
  <c r="U1023" i="1"/>
  <c r="BB1023" i="1"/>
  <c r="BW1023" i="1"/>
  <c r="A1024" i="1"/>
  <c r="C1024" i="1"/>
  <c r="S1024" i="1"/>
  <c r="T1024" i="1"/>
  <c r="U1024" i="1"/>
  <c r="BB1024" i="1"/>
  <c r="BW1024" i="1"/>
  <c r="A1025" i="1"/>
  <c r="C1025" i="1"/>
  <c r="S1025" i="1"/>
  <c r="T1025" i="1"/>
  <c r="U1025" i="1"/>
  <c r="BB1025" i="1"/>
  <c r="BW1025" i="1"/>
  <c r="A1026" i="1"/>
  <c r="C1026" i="1"/>
  <c r="S1026" i="1"/>
  <c r="T1026" i="1"/>
  <c r="U1026" i="1"/>
  <c r="BB1026" i="1"/>
  <c r="BW1026" i="1"/>
  <c r="A1027" i="1"/>
  <c r="C1027" i="1"/>
  <c r="S1027" i="1"/>
  <c r="T1027" i="1"/>
  <c r="U1027" i="1"/>
  <c r="BB1027" i="1"/>
  <c r="BW1027" i="1"/>
  <c r="A1028" i="1"/>
  <c r="C1028" i="1"/>
  <c r="S1028" i="1"/>
  <c r="T1028" i="1"/>
  <c r="U1028" i="1"/>
  <c r="BB1028" i="1"/>
  <c r="BW1028" i="1"/>
  <c r="A1029" i="1"/>
  <c r="C1029" i="1"/>
  <c r="S1029" i="1"/>
  <c r="T1029" i="1"/>
  <c r="U1029" i="1"/>
  <c r="BB1029" i="1"/>
  <c r="BW1029" i="1"/>
  <c r="A1030" i="1"/>
  <c r="C1030" i="1"/>
  <c r="S1030" i="1"/>
  <c r="T1030" i="1"/>
  <c r="U1030" i="1"/>
  <c r="BB1030" i="1"/>
  <c r="BW1030" i="1"/>
  <c r="A1031" i="1"/>
  <c r="C1031" i="1"/>
  <c r="S1031" i="1"/>
  <c r="T1031" i="1"/>
  <c r="U1031" i="1"/>
  <c r="BB1031" i="1"/>
  <c r="BW1031" i="1"/>
  <c r="A1032" i="1"/>
  <c r="C1032" i="1"/>
  <c r="S1032" i="1"/>
  <c r="T1032" i="1"/>
  <c r="U1032" i="1"/>
  <c r="BB1032" i="1"/>
  <c r="BW1032" i="1"/>
  <c r="A1033" i="1"/>
  <c r="C1033" i="1"/>
  <c r="S1033" i="1"/>
  <c r="T1033" i="1"/>
  <c r="U1033" i="1"/>
  <c r="BB1033" i="1"/>
  <c r="BW1033" i="1"/>
  <c r="A1034" i="1"/>
  <c r="C1034" i="1"/>
  <c r="S1034" i="1"/>
  <c r="T1034" i="1"/>
  <c r="U1034" i="1"/>
  <c r="BB1034" i="1"/>
  <c r="BW1034" i="1"/>
  <c r="A1035" i="1"/>
  <c r="C1035" i="1"/>
  <c r="S1035" i="1"/>
  <c r="T1035" i="1"/>
  <c r="U1035" i="1"/>
  <c r="BB1035" i="1"/>
  <c r="BW1035" i="1"/>
  <c r="A1036" i="1"/>
  <c r="C1036" i="1"/>
  <c r="S1036" i="1"/>
  <c r="T1036" i="1"/>
  <c r="U1036" i="1"/>
  <c r="BB1036" i="1"/>
  <c r="BW1036" i="1"/>
  <c r="A1037" i="1"/>
  <c r="C1037" i="1"/>
  <c r="S1037" i="1"/>
  <c r="T1037" i="1"/>
  <c r="U1037" i="1"/>
  <c r="BB1037" i="1"/>
  <c r="BW1037" i="1"/>
  <c r="A1038" i="1"/>
  <c r="C1038" i="1"/>
  <c r="S1038" i="1"/>
  <c r="T1038" i="1"/>
  <c r="U1038" i="1"/>
  <c r="BB1038" i="1"/>
  <c r="BW1038" i="1"/>
  <c r="A1039" i="1"/>
  <c r="C1039" i="1"/>
  <c r="S1039" i="1"/>
  <c r="T1039" i="1"/>
  <c r="U1039" i="1"/>
  <c r="BB1039" i="1"/>
  <c r="BW1039" i="1"/>
  <c r="A1040" i="1"/>
  <c r="C1040" i="1"/>
  <c r="S1040" i="1"/>
  <c r="T1040" i="1"/>
  <c r="U1040" i="1"/>
  <c r="BB1040" i="1"/>
  <c r="BW1040" i="1"/>
  <c r="A1041" i="1"/>
  <c r="C1041" i="1"/>
  <c r="S1041" i="1"/>
  <c r="T1041" i="1"/>
  <c r="U1041" i="1"/>
  <c r="BB1041" i="1"/>
  <c r="BW1041" i="1"/>
  <c r="A1042" i="1"/>
  <c r="C1042" i="1"/>
  <c r="S1042" i="1"/>
  <c r="T1042" i="1"/>
  <c r="U1042" i="1"/>
  <c r="BB1042" i="1"/>
  <c r="BW1042" i="1"/>
  <c r="A1043" i="1"/>
  <c r="C1043" i="1"/>
  <c r="S1043" i="1"/>
  <c r="T1043" i="1"/>
  <c r="U1043" i="1"/>
  <c r="BB1043" i="1"/>
  <c r="BW1043" i="1"/>
  <c r="A1044" i="1"/>
  <c r="C1044" i="1"/>
  <c r="S1044" i="1"/>
  <c r="T1044" i="1"/>
  <c r="U1044" i="1"/>
  <c r="BB1044" i="1"/>
  <c r="BW1044" i="1"/>
  <c r="A1045" i="1"/>
  <c r="C1045" i="1"/>
  <c r="S1045" i="1"/>
  <c r="T1045" i="1"/>
  <c r="U1045" i="1"/>
  <c r="BB1045" i="1"/>
  <c r="BW1045" i="1"/>
  <c r="A1046" i="1"/>
  <c r="C1046" i="1"/>
  <c r="S1046" i="1"/>
  <c r="T1046" i="1"/>
  <c r="U1046" i="1"/>
  <c r="BB1046" i="1"/>
  <c r="BW1046" i="1"/>
  <c r="A1047" i="1"/>
  <c r="C1047" i="1"/>
  <c r="S1047" i="1"/>
  <c r="T1047" i="1"/>
  <c r="U1047" i="1"/>
  <c r="BB1047" i="1"/>
  <c r="BW1047" i="1"/>
  <c r="A1048" i="1"/>
  <c r="C1048" i="1"/>
  <c r="S1048" i="1"/>
  <c r="T1048" i="1"/>
  <c r="U1048" i="1"/>
  <c r="BB1048" i="1"/>
  <c r="BW1048" i="1"/>
  <c r="A1049" i="1"/>
  <c r="C1049" i="1"/>
  <c r="S1049" i="1"/>
  <c r="T1049" i="1"/>
  <c r="U1049" i="1"/>
  <c r="BB1049" i="1"/>
  <c r="BW1049" i="1"/>
  <c r="A1050" i="1"/>
  <c r="C1050" i="1"/>
  <c r="S1050" i="1"/>
  <c r="T1050" i="1"/>
  <c r="U1050" i="1"/>
  <c r="BB1050" i="1"/>
  <c r="BW1050" i="1"/>
  <c r="A1051" i="1"/>
  <c r="C1051" i="1"/>
  <c r="S1051" i="1"/>
  <c r="T1051" i="1"/>
  <c r="U1051" i="1"/>
  <c r="BB1051" i="1"/>
  <c r="BW1051" i="1"/>
  <c r="A1052" i="1"/>
  <c r="C1052" i="1"/>
  <c r="S1052" i="1"/>
  <c r="T1052" i="1"/>
  <c r="U1052" i="1"/>
  <c r="BB1052" i="1"/>
  <c r="BW1052" i="1"/>
  <c r="A1053" i="1"/>
  <c r="C1053" i="1"/>
  <c r="S1053" i="1"/>
  <c r="T1053" i="1"/>
  <c r="U1053" i="1"/>
  <c r="BB1053" i="1"/>
  <c r="BW1053" i="1"/>
  <c r="A1054" i="1"/>
  <c r="C1054" i="1"/>
  <c r="S1054" i="1"/>
  <c r="T1054" i="1"/>
  <c r="U1054" i="1"/>
  <c r="BB1054" i="1"/>
  <c r="BW1054" i="1"/>
  <c r="A1055" i="1"/>
  <c r="C1055" i="1"/>
  <c r="S1055" i="1"/>
  <c r="T1055" i="1"/>
  <c r="U1055" i="1"/>
  <c r="BB1055" i="1"/>
  <c r="BW1055" i="1"/>
  <c r="A1056" i="1"/>
  <c r="C1056" i="1"/>
  <c r="S1056" i="1"/>
  <c r="T1056" i="1"/>
  <c r="U1056" i="1"/>
  <c r="BB1056" i="1"/>
  <c r="BW1056" i="1"/>
  <c r="A1057" i="1"/>
  <c r="C1057" i="1"/>
  <c r="S1057" i="1"/>
  <c r="T1057" i="1"/>
  <c r="U1057" i="1"/>
  <c r="BB1057" i="1"/>
  <c r="BW1057" i="1"/>
  <c r="A1058" i="1"/>
  <c r="C1058" i="1"/>
  <c r="S1058" i="1"/>
  <c r="T1058" i="1"/>
  <c r="U1058" i="1"/>
  <c r="BB1058" i="1"/>
  <c r="BW1058" i="1"/>
  <c r="A1059" i="1"/>
  <c r="C1059" i="1"/>
  <c r="S1059" i="1"/>
  <c r="T1059" i="1"/>
  <c r="U1059" i="1"/>
  <c r="BB1059" i="1"/>
  <c r="BW1059" i="1"/>
  <c r="A1060" i="1"/>
  <c r="C1060" i="1"/>
  <c r="S1060" i="1"/>
  <c r="T1060" i="1"/>
  <c r="U1060" i="1"/>
  <c r="BB1060" i="1"/>
  <c r="BW1060" i="1"/>
  <c r="A1061" i="1"/>
  <c r="C1061" i="1"/>
  <c r="S1061" i="1"/>
  <c r="T1061" i="1"/>
  <c r="U1061" i="1"/>
  <c r="BB1061" i="1"/>
  <c r="BW1061" i="1"/>
  <c r="A1062" i="1"/>
  <c r="C1062" i="1"/>
  <c r="S1062" i="1"/>
  <c r="T1062" i="1"/>
  <c r="U1062" i="1"/>
  <c r="BB1062" i="1"/>
  <c r="BW1062" i="1"/>
  <c r="A1063" i="1"/>
  <c r="C1063" i="1"/>
  <c r="S1063" i="1"/>
  <c r="T1063" i="1"/>
  <c r="U1063" i="1"/>
  <c r="BB1063" i="1"/>
  <c r="BW1063" i="1"/>
  <c r="A1064" i="1"/>
  <c r="C1064" i="1"/>
  <c r="S1064" i="1"/>
  <c r="T1064" i="1"/>
  <c r="U1064" i="1"/>
  <c r="BB1064" i="1"/>
  <c r="BW1064" i="1"/>
  <c r="A1065" i="1"/>
  <c r="C1065" i="1"/>
  <c r="S1065" i="1"/>
  <c r="T1065" i="1"/>
  <c r="U1065" i="1"/>
  <c r="BB1065" i="1"/>
  <c r="BW1065" i="1"/>
  <c r="A1066" i="1"/>
  <c r="C1066" i="1"/>
  <c r="S1066" i="1"/>
  <c r="T1066" i="1"/>
  <c r="U1066" i="1"/>
  <c r="BB1066" i="1"/>
  <c r="BW1066" i="1"/>
  <c r="A1067" i="1"/>
  <c r="C1067" i="1"/>
  <c r="S1067" i="1"/>
  <c r="T1067" i="1"/>
  <c r="U1067" i="1"/>
  <c r="BB1067" i="1"/>
  <c r="BW1067" i="1"/>
  <c r="A1068" i="1"/>
  <c r="C1068" i="1"/>
  <c r="S1068" i="1"/>
  <c r="T1068" i="1"/>
  <c r="U1068" i="1"/>
  <c r="BB1068" i="1"/>
  <c r="BW1068" i="1"/>
  <c r="A1069" i="1"/>
  <c r="C1069" i="1"/>
  <c r="S1069" i="1"/>
  <c r="T1069" i="1"/>
  <c r="U1069" i="1"/>
  <c r="BB1069" i="1"/>
  <c r="BW1069" i="1"/>
  <c r="A1070" i="1"/>
  <c r="C1070" i="1"/>
  <c r="S1070" i="1"/>
  <c r="T1070" i="1"/>
  <c r="U1070" i="1"/>
  <c r="BB1070" i="1"/>
  <c r="BW1070" i="1"/>
  <c r="A1071" i="1"/>
  <c r="C1071" i="1"/>
  <c r="S1071" i="1"/>
  <c r="T1071" i="1"/>
  <c r="U1071" i="1"/>
  <c r="BB1071" i="1"/>
  <c r="BW1071" i="1"/>
  <c r="A1072" i="1"/>
  <c r="C1072" i="1"/>
  <c r="S1072" i="1"/>
  <c r="T1072" i="1"/>
  <c r="U1072" i="1"/>
  <c r="BB1072" i="1"/>
  <c r="BW1072" i="1"/>
  <c r="A1073" i="1"/>
  <c r="C1073" i="1"/>
  <c r="S1073" i="1"/>
  <c r="T1073" i="1"/>
  <c r="U1073" i="1"/>
  <c r="BB1073" i="1"/>
  <c r="BW1073" i="1"/>
  <c r="A1074" i="1"/>
  <c r="C1074" i="1"/>
  <c r="S1074" i="1"/>
  <c r="T1074" i="1"/>
  <c r="U1074" i="1"/>
  <c r="BB1074" i="1"/>
  <c r="BW1074" i="1"/>
  <c r="A1075" i="1"/>
  <c r="C1075" i="1"/>
  <c r="S1075" i="1"/>
  <c r="T1075" i="1"/>
  <c r="U1075" i="1"/>
  <c r="BB1075" i="1"/>
  <c r="BW1075" i="1"/>
  <c r="A1076" i="1"/>
  <c r="C1076" i="1"/>
  <c r="S1076" i="1"/>
  <c r="T1076" i="1"/>
  <c r="U1076" i="1"/>
  <c r="BB1076" i="1"/>
  <c r="BW1076" i="1"/>
  <c r="A1077" i="1"/>
  <c r="C1077" i="1"/>
  <c r="S1077" i="1"/>
  <c r="T1077" i="1"/>
  <c r="U1077" i="1"/>
  <c r="BB1077" i="1"/>
  <c r="BW1077" i="1"/>
  <c r="A1078" i="1"/>
  <c r="C1078" i="1"/>
  <c r="S1078" i="1"/>
  <c r="T1078" i="1"/>
  <c r="U1078" i="1"/>
  <c r="BB1078" i="1"/>
  <c r="BW1078" i="1"/>
  <c r="A1079" i="1"/>
  <c r="C1079" i="1"/>
  <c r="S1079" i="1"/>
  <c r="T1079" i="1"/>
  <c r="U1079" i="1"/>
  <c r="BB1079" i="1"/>
  <c r="BW1079" i="1"/>
  <c r="A1080" i="1"/>
  <c r="C1080" i="1"/>
  <c r="S1080" i="1"/>
  <c r="T1080" i="1"/>
  <c r="U1080" i="1"/>
  <c r="BB1080" i="1"/>
  <c r="BW1080" i="1"/>
  <c r="A1081" i="1"/>
  <c r="C1081" i="1"/>
  <c r="S1081" i="1"/>
  <c r="T1081" i="1"/>
  <c r="U1081" i="1"/>
  <c r="BB1081" i="1"/>
  <c r="BW1081" i="1"/>
  <c r="A1082" i="1"/>
  <c r="C1082" i="1"/>
  <c r="S1082" i="1"/>
  <c r="T1082" i="1"/>
  <c r="U1082" i="1"/>
  <c r="BB1082" i="1"/>
  <c r="BW1082" i="1"/>
  <c r="A1083" i="1"/>
  <c r="C1083" i="1"/>
  <c r="S1083" i="1"/>
  <c r="T1083" i="1"/>
  <c r="U1083" i="1"/>
  <c r="BB1083" i="1"/>
  <c r="BW1083" i="1"/>
  <c r="A1084" i="1"/>
  <c r="C1084" i="1"/>
  <c r="S1084" i="1"/>
  <c r="T1084" i="1"/>
  <c r="U1084" i="1"/>
  <c r="BB1084" i="1"/>
  <c r="BW1084" i="1"/>
  <c r="A1085" i="1"/>
  <c r="C1085" i="1"/>
  <c r="S1085" i="1"/>
  <c r="T1085" i="1"/>
  <c r="U1085" i="1"/>
  <c r="BB1085" i="1"/>
  <c r="BW1085" i="1"/>
  <c r="A1086" i="1"/>
  <c r="C1086" i="1"/>
  <c r="S1086" i="1"/>
  <c r="T1086" i="1"/>
  <c r="U1086" i="1"/>
  <c r="BB1086" i="1"/>
  <c r="BW1086" i="1"/>
  <c r="A1087" i="1"/>
  <c r="C1087" i="1"/>
  <c r="S1087" i="1"/>
  <c r="T1087" i="1"/>
  <c r="U1087" i="1"/>
  <c r="BB1087" i="1"/>
  <c r="BW1087" i="1"/>
  <c r="A1088" i="1"/>
  <c r="C1088" i="1"/>
  <c r="S1088" i="1"/>
  <c r="T1088" i="1"/>
  <c r="U1088" i="1"/>
  <c r="BB1088" i="1"/>
  <c r="BW1088" i="1"/>
  <c r="A1089" i="1"/>
  <c r="C1089" i="1"/>
  <c r="S1089" i="1"/>
  <c r="T1089" i="1"/>
  <c r="U1089" i="1"/>
  <c r="BB1089" i="1"/>
  <c r="BW1089" i="1"/>
  <c r="A1090" i="1"/>
  <c r="C1090" i="1"/>
  <c r="S1090" i="1"/>
  <c r="T1090" i="1"/>
  <c r="U1090" i="1"/>
  <c r="BB1090" i="1"/>
  <c r="BW1090" i="1"/>
  <c r="A1091" i="1"/>
  <c r="C1091" i="1"/>
  <c r="S1091" i="1"/>
  <c r="T1091" i="1"/>
  <c r="U1091" i="1"/>
  <c r="BB1091" i="1"/>
  <c r="BW1091" i="1"/>
  <c r="A1092" i="1"/>
  <c r="C1092" i="1"/>
  <c r="S1092" i="1"/>
  <c r="T1092" i="1"/>
  <c r="U1092" i="1"/>
  <c r="BB1092" i="1"/>
  <c r="BW1092" i="1"/>
  <c r="A1093" i="1"/>
  <c r="C1093" i="1"/>
  <c r="S1093" i="1"/>
  <c r="T1093" i="1"/>
  <c r="U1093" i="1"/>
  <c r="BB1093" i="1"/>
  <c r="BW1093" i="1"/>
  <c r="A1094" i="1"/>
  <c r="C1094" i="1"/>
  <c r="S1094" i="1"/>
  <c r="T1094" i="1"/>
  <c r="U1094" i="1"/>
  <c r="BB1094" i="1"/>
  <c r="BW1094" i="1"/>
  <c r="A1095" i="1"/>
  <c r="C1095" i="1"/>
  <c r="S1095" i="1"/>
  <c r="T1095" i="1"/>
  <c r="U1095" i="1"/>
  <c r="BB1095" i="1"/>
  <c r="BW1095" i="1"/>
  <c r="A1096" i="1"/>
  <c r="C1096" i="1"/>
  <c r="S1096" i="1"/>
  <c r="T1096" i="1"/>
  <c r="U1096" i="1"/>
  <c r="BB1096" i="1"/>
  <c r="BW1096" i="1"/>
  <c r="A1097" i="1"/>
  <c r="C1097" i="1"/>
  <c r="S1097" i="1"/>
  <c r="T1097" i="1"/>
  <c r="U1097" i="1"/>
  <c r="BB1097" i="1"/>
  <c r="BW1097" i="1"/>
  <c r="A1098" i="1"/>
  <c r="C1098" i="1"/>
  <c r="S1098" i="1"/>
  <c r="T1098" i="1"/>
  <c r="U1098" i="1"/>
  <c r="BB1098" i="1"/>
  <c r="BW1098" i="1"/>
  <c r="A1099" i="1"/>
  <c r="C1099" i="1"/>
  <c r="S1099" i="1"/>
  <c r="T1099" i="1"/>
  <c r="U1099" i="1"/>
  <c r="BB1099" i="1"/>
  <c r="BW1099" i="1"/>
  <c r="A1100" i="1"/>
  <c r="C1100" i="1"/>
  <c r="S1100" i="1"/>
  <c r="T1100" i="1"/>
  <c r="U1100" i="1"/>
  <c r="BB1100" i="1"/>
  <c r="BW1100" i="1"/>
  <c r="A1101" i="1"/>
  <c r="C1101" i="1"/>
  <c r="S1101" i="1"/>
  <c r="T1101" i="1"/>
  <c r="U1101" i="1"/>
  <c r="BB1101" i="1"/>
  <c r="BW1101" i="1"/>
  <c r="A1102" i="1"/>
  <c r="C1102" i="1"/>
  <c r="S1102" i="1"/>
  <c r="T1102" i="1"/>
  <c r="U1102" i="1"/>
  <c r="BB1102" i="1"/>
  <c r="BW1102" i="1"/>
  <c r="A1103" i="1"/>
  <c r="C1103" i="1"/>
  <c r="S1103" i="1"/>
  <c r="T1103" i="1"/>
  <c r="U1103" i="1"/>
  <c r="BB1103" i="1"/>
  <c r="BW1103" i="1"/>
  <c r="A1104" i="1"/>
  <c r="C1104" i="1"/>
  <c r="S1104" i="1"/>
  <c r="T1104" i="1"/>
  <c r="U1104" i="1"/>
  <c r="BB1104" i="1"/>
  <c r="BW1104" i="1"/>
  <c r="A1105" i="1"/>
  <c r="C1105" i="1"/>
  <c r="S1105" i="1"/>
  <c r="T1105" i="1"/>
  <c r="U1105" i="1"/>
  <c r="BB1105" i="1"/>
  <c r="BW1105" i="1"/>
  <c r="A1106" i="1"/>
  <c r="C1106" i="1"/>
  <c r="S1106" i="1"/>
  <c r="T1106" i="1"/>
  <c r="U1106" i="1"/>
  <c r="BB1106" i="1"/>
  <c r="BW1106" i="1"/>
  <c r="A1107" i="1"/>
  <c r="C1107" i="1"/>
  <c r="S1107" i="1"/>
  <c r="T1107" i="1"/>
  <c r="U1107" i="1"/>
  <c r="BB1107" i="1"/>
  <c r="BW1107" i="1"/>
  <c r="A1108" i="1"/>
  <c r="C1108" i="1"/>
  <c r="S1108" i="1"/>
  <c r="T1108" i="1"/>
  <c r="U1108" i="1"/>
  <c r="BB1108" i="1"/>
  <c r="BW1108" i="1"/>
  <c r="A1109" i="1"/>
  <c r="C1109" i="1"/>
  <c r="S1109" i="1"/>
  <c r="T1109" i="1"/>
  <c r="U1109" i="1"/>
  <c r="BB1109" i="1"/>
  <c r="BW1109" i="1"/>
  <c r="A1110" i="1"/>
  <c r="C1110" i="1"/>
  <c r="S1110" i="1"/>
  <c r="T1110" i="1"/>
  <c r="U1110" i="1"/>
  <c r="BB1110" i="1"/>
  <c r="BW1110" i="1"/>
  <c r="A1111" i="1"/>
  <c r="C1111" i="1"/>
  <c r="S1111" i="1"/>
  <c r="T1111" i="1"/>
  <c r="U1111" i="1"/>
  <c r="BB1111" i="1"/>
  <c r="BW1111" i="1"/>
  <c r="A1112" i="1"/>
  <c r="C1112" i="1"/>
  <c r="S1112" i="1"/>
  <c r="T1112" i="1"/>
  <c r="U1112" i="1"/>
  <c r="BB1112" i="1"/>
  <c r="BW1112" i="1"/>
  <c r="A1113" i="1"/>
  <c r="C1113" i="1"/>
  <c r="S1113" i="1"/>
  <c r="T1113" i="1"/>
  <c r="U1113" i="1"/>
  <c r="BB1113" i="1"/>
  <c r="BW1113" i="1"/>
  <c r="A1114" i="1"/>
  <c r="C1114" i="1"/>
  <c r="S1114" i="1"/>
  <c r="T1114" i="1"/>
  <c r="U1114" i="1"/>
  <c r="BB1114" i="1"/>
  <c r="BW1114" i="1"/>
  <c r="A1115" i="1"/>
  <c r="C1115" i="1"/>
  <c r="S1115" i="1"/>
  <c r="T1115" i="1"/>
  <c r="U1115" i="1"/>
  <c r="BB1115" i="1"/>
  <c r="BW1115" i="1"/>
  <c r="A1116" i="1"/>
  <c r="C1116" i="1"/>
  <c r="S1116" i="1"/>
  <c r="T1116" i="1"/>
  <c r="U1116" i="1"/>
  <c r="BB1116" i="1"/>
  <c r="BW1116" i="1"/>
  <c r="A1117" i="1"/>
  <c r="C1117" i="1"/>
  <c r="S1117" i="1"/>
  <c r="T1117" i="1"/>
  <c r="U1117" i="1"/>
  <c r="BB1117" i="1"/>
  <c r="BW1117" i="1"/>
  <c r="A1118" i="1"/>
  <c r="C1118" i="1"/>
  <c r="S1118" i="1"/>
  <c r="T1118" i="1"/>
  <c r="U1118" i="1"/>
  <c r="BB1118" i="1"/>
  <c r="BW1118" i="1"/>
  <c r="A1119" i="1"/>
  <c r="C1119" i="1"/>
  <c r="S1119" i="1"/>
  <c r="T1119" i="1"/>
  <c r="U1119" i="1"/>
  <c r="BB1119" i="1"/>
  <c r="BW1119" i="1"/>
  <c r="A1120" i="1"/>
  <c r="C1120" i="1"/>
  <c r="S1120" i="1"/>
  <c r="T1120" i="1"/>
  <c r="U1120" i="1"/>
  <c r="BB1120" i="1"/>
  <c r="BW1120" i="1"/>
  <c r="A1121" i="1"/>
  <c r="C1121" i="1"/>
  <c r="S1121" i="1"/>
  <c r="T1121" i="1"/>
  <c r="U1121" i="1"/>
  <c r="BB1121" i="1"/>
  <c r="BW1121" i="1"/>
  <c r="A1122" i="1"/>
  <c r="C1122" i="1"/>
  <c r="S1122" i="1"/>
  <c r="T1122" i="1"/>
  <c r="U1122" i="1"/>
  <c r="BB1122" i="1"/>
  <c r="BW1122" i="1"/>
  <c r="A1123" i="1"/>
  <c r="C1123" i="1"/>
  <c r="S1123" i="1"/>
  <c r="T1123" i="1"/>
  <c r="U1123" i="1"/>
  <c r="BB1123" i="1"/>
  <c r="BW1123" i="1"/>
  <c r="A1124" i="1"/>
  <c r="C1124" i="1"/>
  <c r="S1124" i="1"/>
  <c r="T1124" i="1"/>
  <c r="U1124" i="1"/>
  <c r="BB1124" i="1"/>
  <c r="BW1124" i="1"/>
  <c r="A1125" i="1"/>
  <c r="C1125" i="1"/>
  <c r="S1125" i="1"/>
  <c r="T1125" i="1"/>
  <c r="U1125" i="1"/>
  <c r="BB1125" i="1"/>
  <c r="BW1125" i="1"/>
  <c r="A1126" i="1"/>
  <c r="C1126" i="1"/>
  <c r="S1126" i="1"/>
  <c r="T1126" i="1"/>
  <c r="U1126" i="1"/>
  <c r="BB1126" i="1"/>
  <c r="BW1126" i="1"/>
  <c r="A1127" i="1"/>
  <c r="C1127" i="1"/>
  <c r="S1127" i="1"/>
  <c r="T1127" i="1"/>
  <c r="U1127" i="1"/>
  <c r="BB1127" i="1"/>
  <c r="BW1127" i="1"/>
  <c r="A1128" i="1"/>
  <c r="C1128" i="1"/>
  <c r="S1128" i="1"/>
  <c r="T1128" i="1"/>
  <c r="U1128" i="1"/>
  <c r="BB1128" i="1"/>
  <c r="BW1128" i="1"/>
  <c r="A1129" i="1"/>
  <c r="C1129" i="1"/>
  <c r="S1129" i="1"/>
  <c r="T1129" i="1"/>
  <c r="U1129" i="1"/>
  <c r="BB1129" i="1"/>
  <c r="BW1129" i="1"/>
  <c r="A1130" i="1"/>
  <c r="C1130" i="1"/>
  <c r="S1130" i="1"/>
  <c r="T1130" i="1"/>
  <c r="U1130" i="1"/>
  <c r="BB1130" i="1"/>
  <c r="BW1130" i="1"/>
  <c r="A1131" i="1"/>
  <c r="C1131" i="1"/>
  <c r="S1131" i="1"/>
  <c r="T1131" i="1"/>
  <c r="U1131" i="1"/>
  <c r="BB1131" i="1"/>
  <c r="BW1131" i="1"/>
  <c r="A1132" i="1"/>
  <c r="C1132" i="1"/>
  <c r="S1132" i="1"/>
  <c r="T1132" i="1"/>
  <c r="U1132" i="1"/>
  <c r="BB1132" i="1"/>
  <c r="BW1132" i="1"/>
  <c r="A1133" i="1"/>
  <c r="C1133" i="1"/>
  <c r="S1133" i="1"/>
  <c r="T1133" i="1"/>
  <c r="U1133" i="1"/>
  <c r="BB1133" i="1"/>
  <c r="BW1133" i="1"/>
  <c r="A1134" i="1"/>
  <c r="C1134" i="1"/>
  <c r="S1134" i="1"/>
  <c r="T1134" i="1"/>
  <c r="U1134" i="1"/>
  <c r="BB1134" i="1"/>
  <c r="BW1134" i="1"/>
  <c r="A1135" i="1"/>
  <c r="C1135" i="1"/>
  <c r="S1135" i="1"/>
  <c r="T1135" i="1"/>
  <c r="U1135" i="1"/>
  <c r="BB1135" i="1"/>
  <c r="BW1135" i="1"/>
  <c r="A1136" i="1"/>
  <c r="C1136" i="1"/>
  <c r="S1136" i="1"/>
  <c r="T1136" i="1"/>
  <c r="U1136" i="1"/>
  <c r="BB1136" i="1"/>
  <c r="BW1136" i="1"/>
  <c r="A1137" i="1"/>
  <c r="C1137" i="1"/>
  <c r="S1137" i="1"/>
  <c r="T1137" i="1"/>
  <c r="U1137" i="1"/>
  <c r="BB1137" i="1"/>
  <c r="BW1137" i="1"/>
  <c r="A1138" i="1"/>
  <c r="C1138" i="1"/>
  <c r="S1138" i="1"/>
  <c r="T1138" i="1"/>
  <c r="U1138" i="1"/>
  <c r="BB1138" i="1"/>
  <c r="BW1138" i="1"/>
  <c r="A1139" i="1"/>
  <c r="C1139" i="1"/>
  <c r="S1139" i="1"/>
  <c r="T1139" i="1"/>
  <c r="U1139" i="1"/>
  <c r="BB1139" i="1"/>
  <c r="BW1139" i="1"/>
  <c r="A1140" i="1"/>
  <c r="C1140" i="1"/>
  <c r="S1140" i="1"/>
  <c r="T1140" i="1"/>
  <c r="U1140" i="1"/>
  <c r="BB1140" i="1"/>
  <c r="BW1140" i="1"/>
  <c r="A1141" i="1"/>
  <c r="C1141" i="1"/>
  <c r="S1141" i="1"/>
  <c r="T1141" i="1"/>
  <c r="U1141" i="1"/>
  <c r="BB1141" i="1"/>
  <c r="BW1141" i="1"/>
  <c r="A1142" i="1"/>
  <c r="C1142" i="1"/>
  <c r="S1142" i="1"/>
  <c r="T1142" i="1"/>
  <c r="U1142" i="1"/>
  <c r="BB1142" i="1"/>
  <c r="BW1142" i="1"/>
  <c r="A1143" i="1"/>
  <c r="C1143" i="1"/>
  <c r="S1143" i="1"/>
  <c r="T1143" i="1"/>
  <c r="U1143" i="1"/>
  <c r="BB1143" i="1"/>
  <c r="BW1143" i="1"/>
  <c r="A1144" i="1"/>
  <c r="C1144" i="1"/>
  <c r="S1144" i="1"/>
  <c r="T1144" i="1"/>
  <c r="U1144" i="1"/>
  <c r="BB1144" i="1"/>
  <c r="BW1144" i="1"/>
  <c r="A1145" i="1"/>
  <c r="C1145" i="1"/>
  <c r="S1145" i="1"/>
  <c r="T1145" i="1"/>
  <c r="U1145" i="1"/>
  <c r="BB1145" i="1"/>
  <c r="BW1145" i="1"/>
  <c r="A1146" i="1"/>
  <c r="C1146" i="1"/>
  <c r="S1146" i="1"/>
  <c r="T1146" i="1"/>
  <c r="U1146" i="1"/>
  <c r="BB1146" i="1"/>
  <c r="BW1146" i="1"/>
  <c r="A1147" i="1"/>
  <c r="C1147" i="1"/>
  <c r="S1147" i="1"/>
  <c r="T1147" i="1"/>
  <c r="U1147" i="1"/>
  <c r="BB1147" i="1"/>
  <c r="BW1147" i="1"/>
  <c r="A1148" i="1"/>
  <c r="C1148" i="1"/>
  <c r="S1148" i="1"/>
  <c r="T1148" i="1"/>
  <c r="U1148" i="1"/>
  <c r="BB1148" i="1"/>
  <c r="BW1148" i="1"/>
  <c r="A1149" i="1"/>
  <c r="C1149" i="1"/>
  <c r="S1149" i="1"/>
  <c r="T1149" i="1"/>
  <c r="U1149" i="1"/>
  <c r="BB1149" i="1"/>
  <c r="BW1149" i="1"/>
  <c r="A1150" i="1"/>
  <c r="C1150" i="1"/>
  <c r="S1150" i="1"/>
  <c r="T1150" i="1"/>
  <c r="U1150" i="1"/>
  <c r="BB1150" i="1"/>
  <c r="BW1150" i="1"/>
  <c r="A1151" i="1"/>
  <c r="C1151" i="1"/>
  <c r="S1151" i="1"/>
  <c r="T1151" i="1"/>
  <c r="U1151" i="1"/>
  <c r="BB1151" i="1"/>
  <c r="BW1151" i="1"/>
  <c r="A1152" i="1"/>
  <c r="C1152" i="1"/>
  <c r="S1152" i="1"/>
  <c r="T1152" i="1"/>
  <c r="U1152" i="1"/>
  <c r="BB1152" i="1"/>
  <c r="BW1152" i="1"/>
  <c r="A1153" i="1"/>
  <c r="C1153" i="1"/>
  <c r="S1153" i="1"/>
  <c r="T1153" i="1"/>
  <c r="U1153" i="1"/>
  <c r="BB1153" i="1"/>
  <c r="BW1153" i="1"/>
  <c r="A1154" i="1"/>
  <c r="C1154" i="1"/>
  <c r="S1154" i="1"/>
  <c r="T1154" i="1"/>
  <c r="U1154" i="1"/>
  <c r="BB1154" i="1"/>
  <c r="BW1154" i="1"/>
  <c r="A1155" i="1"/>
  <c r="C1155" i="1"/>
  <c r="S1155" i="1"/>
  <c r="T1155" i="1"/>
  <c r="U1155" i="1"/>
  <c r="BB1155" i="1"/>
  <c r="BW1155" i="1"/>
  <c r="A1156" i="1"/>
  <c r="C1156" i="1"/>
  <c r="S1156" i="1"/>
  <c r="T1156" i="1"/>
  <c r="U1156" i="1"/>
  <c r="BB1156" i="1"/>
  <c r="BW1156" i="1"/>
  <c r="A1157" i="1"/>
  <c r="C1157" i="1"/>
  <c r="S1157" i="1"/>
  <c r="T1157" i="1"/>
  <c r="U1157" i="1"/>
  <c r="BB1157" i="1"/>
  <c r="BW1157" i="1"/>
  <c r="A1158" i="1"/>
  <c r="C1158" i="1"/>
  <c r="S1158" i="1"/>
  <c r="T1158" i="1"/>
  <c r="U1158" i="1"/>
  <c r="BB1158" i="1"/>
  <c r="BW1158" i="1"/>
  <c r="A1159" i="1"/>
  <c r="C1159" i="1"/>
  <c r="S1159" i="1"/>
  <c r="T1159" i="1"/>
  <c r="U1159" i="1"/>
  <c r="BB1159" i="1"/>
  <c r="BW1159" i="1"/>
  <c r="A1160" i="1"/>
  <c r="C1160" i="1"/>
  <c r="S1160" i="1"/>
  <c r="T1160" i="1"/>
  <c r="U1160" i="1"/>
  <c r="BB1160" i="1"/>
  <c r="BW1160" i="1"/>
  <c r="A1161" i="1"/>
  <c r="C1161" i="1"/>
  <c r="S1161" i="1"/>
  <c r="T1161" i="1"/>
  <c r="U1161" i="1"/>
  <c r="BB1161" i="1"/>
  <c r="BW1161" i="1"/>
  <c r="A1162" i="1"/>
  <c r="C1162" i="1"/>
  <c r="S1162" i="1"/>
  <c r="T1162" i="1"/>
  <c r="U1162" i="1"/>
  <c r="BB1162" i="1"/>
  <c r="BW1162" i="1"/>
  <c r="A1163" i="1"/>
  <c r="C1163" i="1"/>
  <c r="S1163" i="1"/>
  <c r="T1163" i="1"/>
  <c r="U1163" i="1"/>
  <c r="BB1163" i="1"/>
  <c r="BW1163" i="1"/>
  <c r="A1164" i="1"/>
  <c r="C1164" i="1"/>
  <c r="S1164" i="1"/>
  <c r="T1164" i="1"/>
  <c r="U1164" i="1"/>
  <c r="BB1164" i="1"/>
  <c r="BW1164" i="1"/>
  <c r="A1165" i="1"/>
  <c r="C1165" i="1"/>
  <c r="S1165" i="1"/>
  <c r="T1165" i="1"/>
  <c r="U1165" i="1"/>
  <c r="BB1165" i="1"/>
  <c r="BW1165" i="1"/>
  <c r="A1166" i="1"/>
  <c r="C1166" i="1"/>
  <c r="S1166" i="1"/>
  <c r="T1166" i="1"/>
  <c r="U1166" i="1"/>
  <c r="BB1166" i="1"/>
  <c r="BW1166" i="1"/>
  <c r="A1167" i="1"/>
  <c r="C1167" i="1"/>
  <c r="S1167" i="1"/>
  <c r="T1167" i="1"/>
  <c r="U1167" i="1"/>
  <c r="BB1167" i="1"/>
  <c r="BW1167" i="1"/>
  <c r="A1168" i="1"/>
  <c r="C1168" i="1"/>
  <c r="S1168" i="1"/>
  <c r="T1168" i="1"/>
  <c r="U1168" i="1"/>
  <c r="BB1168" i="1"/>
  <c r="BW1168" i="1"/>
  <c r="A1169" i="1"/>
  <c r="C1169" i="1"/>
  <c r="S1169" i="1"/>
  <c r="T1169" i="1"/>
  <c r="U1169" i="1"/>
  <c r="BB1169" i="1"/>
  <c r="BW1169" i="1"/>
  <c r="A1170" i="1"/>
  <c r="C1170" i="1"/>
  <c r="S1170" i="1"/>
  <c r="T1170" i="1"/>
  <c r="U1170" i="1"/>
  <c r="BB1170" i="1"/>
  <c r="BW1170" i="1"/>
  <c r="A1171" i="1"/>
  <c r="C1171" i="1"/>
  <c r="S1171" i="1"/>
  <c r="T1171" i="1"/>
  <c r="U1171" i="1"/>
  <c r="BB1171" i="1"/>
  <c r="BW1171" i="1"/>
  <c r="A1172" i="1"/>
  <c r="C1172" i="1"/>
  <c r="S1172" i="1"/>
  <c r="T1172" i="1"/>
  <c r="U1172" i="1"/>
  <c r="BB1172" i="1"/>
  <c r="BW1172" i="1"/>
  <c r="A1173" i="1"/>
  <c r="C1173" i="1"/>
  <c r="S1173" i="1"/>
  <c r="T1173" i="1"/>
  <c r="U1173" i="1"/>
  <c r="BB1173" i="1"/>
  <c r="BW1173" i="1"/>
  <c r="A1174" i="1"/>
  <c r="C1174" i="1"/>
  <c r="S1174" i="1"/>
  <c r="T1174" i="1"/>
  <c r="U1174" i="1"/>
  <c r="BB1174" i="1"/>
  <c r="BW1174" i="1"/>
  <c r="A1175" i="1"/>
  <c r="C1175" i="1"/>
  <c r="S1175" i="1"/>
  <c r="T1175" i="1"/>
  <c r="U1175" i="1"/>
  <c r="BB1175" i="1"/>
  <c r="BW1175" i="1"/>
  <c r="A1176" i="1"/>
  <c r="C1176" i="1"/>
  <c r="S1176" i="1"/>
  <c r="T1176" i="1"/>
  <c r="U1176" i="1"/>
  <c r="BB1176" i="1"/>
  <c r="BW1176" i="1"/>
  <c r="A1177" i="1"/>
  <c r="C1177" i="1"/>
  <c r="S1177" i="1"/>
  <c r="T1177" i="1"/>
  <c r="U1177" i="1"/>
  <c r="BB1177" i="1"/>
  <c r="BW1177" i="1"/>
  <c r="A1178" i="1"/>
  <c r="C1178" i="1"/>
  <c r="S1178" i="1"/>
  <c r="T1178" i="1"/>
  <c r="U1178" i="1"/>
  <c r="BB1178" i="1"/>
  <c r="BW1178" i="1"/>
  <c r="A1179" i="1"/>
  <c r="C1179" i="1"/>
  <c r="S1179" i="1"/>
  <c r="T1179" i="1"/>
  <c r="U1179" i="1"/>
  <c r="BB1179" i="1"/>
  <c r="BW1179" i="1"/>
  <c r="A1180" i="1"/>
  <c r="C1180" i="1"/>
  <c r="S1180" i="1"/>
  <c r="T1180" i="1"/>
  <c r="U1180" i="1"/>
  <c r="BB1180" i="1"/>
  <c r="BW1180" i="1"/>
  <c r="A1181" i="1"/>
  <c r="C1181" i="1"/>
  <c r="S1181" i="1"/>
  <c r="T1181" i="1"/>
  <c r="U1181" i="1"/>
  <c r="BB1181" i="1"/>
  <c r="BW1181" i="1"/>
  <c r="A1182" i="1"/>
  <c r="C1182" i="1"/>
  <c r="S1182" i="1"/>
  <c r="T1182" i="1"/>
  <c r="U1182" i="1"/>
  <c r="BB1182" i="1"/>
  <c r="BW1182" i="1"/>
  <c r="A1183" i="1"/>
  <c r="C1183" i="1"/>
  <c r="S1183" i="1"/>
  <c r="T1183" i="1"/>
  <c r="U1183" i="1"/>
  <c r="BB1183" i="1"/>
  <c r="BW1183" i="1"/>
  <c r="A1184" i="1"/>
  <c r="C1184" i="1"/>
  <c r="S1184" i="1"/>
  <c r="T1184" i="1"/>
  <c r="U1184" i="1"/>
  <c r="BB1184" i="1"/>
  <c r="BW1184" i="1"/>
  <c r="A1185" i="1"/>
  <c r="C1185" i="1"/>
  <c r="S1185" i="1"/>
  <c r="T1185" i="1"/>
  <c r="U1185" i="1"/>
  <c r="BB1185" i="1"/>
  <c r="BW1185" i="1"/>
  <c r="A1186" i="1"/>
  <c r="C1186" i="1"/>
  <c r="S1186" i="1"/>
  <c r="T1186" i="1"/>
  <c r="U1186" i="1"/>
  <c r="BB1186" i="1"/>
  <c r="BW1186" i="1"/>
  <c r="A1187" i="1"/>
  <c r="C1187" i="1"/>
  <c r="S1187" i="1"/>
  <c r="T1187" i="1"/>
  <c r="U1187" i="1"/>
  <c r="BB1187" i="1"/>
  <c r="BW1187" i="1"/>
  <c r="A1188" i="1"/>
  <c r="C1188" i="1"/>
  <c r="S1188" i="1"/>
  <c r="T1188" i="1"/>
  <c r="U1188" i="1"/>
  <c r="BB1188" i="1"/>
  <c r="BW1188" i="1"/>
  <c r="A1189" i="1"/>
  <c r="C1189" i="1"/>
  <c r="S1189" i="1"/>
  <c r="T1189" i="1"/>
  <c r="U1189" i="1"/>
  <c r="BB1189" i="1"/>
  <c r="BW1189" i="1"/>
  <c r="A1190" i="1"/>
  <c r="C1190" i="1"/>
  <c r="S1190" i="1"/>
  <c r="T1190" i="1"/>
  <c r="U1190" i="1"/>
  <c r="BB1190" i="1"/>
  <c r="BW1190" i="1"/>
  <c r="A1191" i="1"/>
  <c r="C1191" i="1"/>
  <c r="S1191" i="1"/>
  <c r="T1191" i="1"/>
  <c r="U1191" i="1"/>
  <c r="BB1191" i="1"/>
  <c r="BW1191" i="1"/>
  <c r="A1192" i="1"/>
  <c r="C1192" i="1"/>
  <c r="S1192" i="1"/>
  <c r="T1192" i="1"/>
  <c r="U1192" i="1"/>
  <c r="BB1192" i="1"/>
  <c r="BW1192" i="1"/>
  <c r="A1193" i="1"/>
  <c r="C1193" i="1"/>
  <c r="S1193" i="1"/>
  <c r="T1193" i="1"/>
  <c r="U1193" i="1"/>
  <c r="BB1193" i="1"/>
  <c r="BW1193" i="1"/>
  <c r="A1194" i="1"/>
  <c r="C1194" i="1"/>
  <c r="S1194" i="1"/>
  <c r="T1194" i="1"/>
  <c r="U1194" i="1"/>
  <c r="BB1194" i="1"/>
  <c r="BW1194" i="1"/>
  <c r="A1195" i="1"/>
  <c r="C1195" i="1"/>
  <c r="S1195" i="1"/>
  <c r="T1195" i="1"/>
  <c r="U1195" i="1"/>
  <c r="BB1195" i="1"/>
  <c r="BW1195" i="1"/>
  <c r="A1196" i="1"/>
  <c r="C1196" i="1"/>
  <c r="S1196" i="1"/>
  <c r="T1196" i="1"/>
  <c r="U1196" i="1"/>
  <c r="BB1196" i="1"/>
  <c r="BW1196" i="1"/>
  <c r="A1197" i="1"/>
  <c r="C1197" i="1"/>
  <c r="S1197" i="1"/>
  <c r="T1197" i="1"/>
  <c r="U1197" i="1"/>
  <c r="BB1197" i="1"/>
  <c r="BW1197" i="1"/>
  <c r="A1198" i="1"/>
  <c r="C1198" i="1"/>
  <c r="S1198" i="1"/>
  <c r="T1198" i="1"/>
  <c r="U1198" i="1"/>
  <c r="BB1198" i="1"/>
  <c r="BW1198" i="1"/>
  <c r="A1199" i="1"/>
  <c r="C1199" i="1"/>
  <c r="S1199" i="1"/>
  <c r="T1199" i="1"/>
  <c r="U1199" i="1"/>
  <c r="BB1199" i="1"/>
  <c r="BW1199" i="1"/>
  <c r="A1200" i="1"/>
  <c r="C1200" i="1"/>
  <c r="S1200" i="1"/>
  <c r="T1200" i="1"/>
  <c r="U1200" i="1"/>
  <c r="BB1200" i="1"/>
  <c r="BW1200" i="1"/>
  <c r="A1201" i="1"/>
  <c r="C1201" i="1"/>
  <c r="S1201" i="1"/>
  <c r="T1201" i="1"/>
  <c r="U1201" i="1"/>
  <c r="BB1201" i="1"/>
  <c r="BW1201" i="1"/>
  <c r="A1202" i="1"/>
  <c r="C1202" i="1"/>
  <c r="S1202" i="1"/>
  <c r="T1202" i="1"/>
  <c r="U1202" i="1"/>
  <c r="BB1202" i="1"/>
  <c r="BW1202" i="1"/>
  <c r="A1203" i="1"/>
  <c r="C1203" i="1"/>
  <c r="S1203" i="1"/>
  <c r="T1203" i="1"/>
  <c r="U1203" i="1"/>
  <c r="BB1203" i="1"/>
  <c r="BW1203" i="1"/>
  <c r="A1204" i="1"/>
  <c r="C1204" i="1"/>
  <c r="S1204" i="1"/>
  <c r="T1204" i="1"/>
  <c r="U1204" i="1"/>
  <c r="BB1204" i="1"/>
  <c r="BW1204" i="1"/>
  <c r="A1205" i="1"/>
  <c r="C1205" i="1"/>
  <c r="S1205" i="1"/>
  <c r="T1205" i="1"/>
  <c r="U1205" i="1"/>
  <c r="BB1205" i="1"/>
  <c r="BW1205" i="1"/>
  <c r="A1206" i="1"/>
  <c r="C1206" i="1"/>
  <c r="S1206" i="1"/>
  <c r="T1206" i="1"/>
  <c r="U1206" i="1"/>
  <c r="BB1206" i="1"/>
  <c r="BW1206" i="1"/>
  <c r="A1207" i="1"/>
  <c r="C1207" i="1"/>
  <c r="S1207" i="1"/>
  <c r="T1207" i="1"/>
  <c r="U1207" i="1"/>
  <c r="BB1207" i="1"/>
  <c r="BW1207" i="1"/>
  <c r="A1208" i="1"/>
  <c r="C1208" i="1"/>
  <c r="S1208" i="1"/>
  <c r="T1208" i="1"/>
  <c r="U1208" i="1"/>
  <c r="BB1208" i="1"/>
  <c r="BW1208" i="1"/>
  <c r="A1209" i="1"/>
  <c r="C1209" i="1"/>
  <c r="S1209" i="1"/>
  <c r="T1209" i="1"/>
  <c r="U1209" i="1"/>
  <c r="BB1209" i="1"/>
  <c r="BW1209" i="1"/>
  <c r="A1210" i="1"/>
  <c r="C1210" i="1"/>
  <c r="S1210" i="1"/>
  <c r="T1210" i="1"/>
  <c r="U1210" i="1"/>
  <c r="BB1210" i="1"/>
  <c r="BW1210" i="1"/>
  <c r="A1211" i="1"/>
  <c r="C1211" i="1"/>
  <c r="S1211" i="1"/>
  <c r="T1211" i="1"/>
  <c r="U1211" i="1"/>
  <c r="BB1211" i="1"/>
  <c r="BW1211" i="1"/>
  <c r="A1212" i="1"/>
  <c r="C1212" i="1"/>
  <c r="S1212" i="1"/>
  <c r="T1212" i="1"/>
  <c r="U1212" i="1"/>
  <c r="BB1212" i="1"/>
  <c r="BW1212" i="1"/>
  <c r="A1213" i="1"/>
  <c r="C1213" i="1"/>
  <c r="S1213" i="1"/>
  <c r="T1213" i="1"/>
  <c r="U1213" i="1"/>
  <c r="BB1213" i="1"/>
  <c r="BW1213" i="1"/>
  <c r="A1214" i="1"/>
  <c r="C1214" i="1"/>
  <c r="S1214" i="1"/>
  <c r="T1214" i="1"/>
  <c r="U1214" i="1"/>
  <c r="BB1214" i="1"/>
  <c r="BW1214" i="1"/>
  <c r="A1215" i="1"/>
  <c r="C1215" i="1"/>
  <c r="S1215" i="1"/>
  <c r="T1215" i="1"/>
  <c r="U1215" i="1"/>
  <c r="BB1215" i="1"/>
  <c r="BW1215" i="1"/>
  <c r="A1216" i="1"/>
  <c r="C1216" i="1"/>
  <c r="S1216" i="1"/>
  <c r="T1216" i="1"/>
  <c r="U1216" i="1"/>
  <c r="BB1216" i="1"/>
  <c r="BW1216" i="1"/>
  <c r="A1217" i="1"/>
  <c r="C1217" i="1"/>
  <c r="S1217" i="1"/>
  <c r="T1217" i="1"/>
  <c r="U1217" i="1"/>
  <c r="BB1217" i="1"/>
  <c r="BW1217" i="1"/>
  <c r="A1218" i="1"/>
  <c r="C1218" i="1"/>
  <c r="S1218" i="1"/>
  <c r="T1218" i="1"/>
  <c r="U1218" i="1"/>
  <c r="BB1218" i="1"/>
  <c r="BW1218" i="1"/>
  <c r="A1219" i="1"/>
  <c r="C1219" i="1"/>
  <c r="S1219" i="1"/>
  <c r="T1219" i="1"/>
  <c r="U1219" i="1"/>
  <c r="BB1219" i="1"/>
  <c r="BW1219" i="1"/>
  <c r="A1220" i="1"/>
  <c r="C1220" i="1"/>
  <c r="S1220" i="1"/>
  <c r="T1220" i="1"/>
  <c r="U1220" i="1"/>
  <c r="BB1220" i="1"/>
  <c r="BW1220" i="1"/>
  <c r="A1221" i="1"/>
  <c r="C1221" i="1"/>
  <c r="S1221" i="1"/>
  <c r="T1221" i="1"/>
  <c r="U1221" i="1"/>
  <c r="BB1221" i="1"/>
  <c r="BW1221" i="1"/>
  <c r="A1222" i="1"/>
  <c r="C1222" i="1"/>
  <c r="S1222" i="1"/>
  <c r="T1222" i="1"/>
  <c r="U1222" i="1"/>
  <c r="BB1222" i="1"/>
  <c r="BW1222" i="1"/>
  <c r="A1223" i="1"/>
  <c r="C1223" i="1"/>
  <c r="S1223" i="1"/>
  <c r="T1223" i="1"/>
  <c r="U1223" i="1"/>
  <c r="BB1223" i="1"/>
  <c r="BW1223" i="1"/>
  <c r="A1224" i="1"/>
  <c r="C1224" i="1"/>
  <c r="S1224" i="1"/>
  <c r="T1224" i="1"/>
  <c r="U1224" i="1"/>
  <c r="BB1224" i="1"/>
  <c r="BW1224" i="1"/>
  <c r="A1225" i="1"/>
  <c r="C1225" i="1"/>
  <c r="S1225" i="1"/>
  <c r="T1225" i="1"/>
  <c r="U1225" i="1"/>
  <c r="BB1225" i="1"/>
  <c r="BW1225" i="1"/>
  <c r="A1226" i="1"/>
  <c r="C1226" i="1"/>
  <c r="S1226" i="1"/>
  <c r="T1226" i="1"/>
  <c r="U1226" i="1"/>
  <c r="BB1226" i="1"/>
  <c r="BW1226" i="1"/>
  <c r="A1227" i="1"/>
  <c r="C1227" i="1"/>
  <c r="S1227" i="1"/>
  <c r="T1227" i="1"/>
  <c r="U1227" i="1"/>
  <c r="BB1227" i="1"/>
  <c r="BW1227" i="1"/>
  <c r="A1228" i="1"/>
  <c r="C1228" i="1"/>
  <c r="S1228" i="1"/>
  <c r="T1228" i="1"/>
  <c r="U1228" i="1"/>
  <c r="BB1228" i="1"/>
  <c r="BW1228" i="1"/>
  <c r="A1229" i="1"/>
  <c r="C1229" i="1"/>
  <c r="S1229" i="1"/>
  <c r="T1229" i="1"/>
  <c r="U1229" i="1"/>
  <c r="BB1229" i="1"/>
  <c r="BW1229" i="1"/>
  <c r="A1230" i="1"/>
  <c r="C1230" i="1"/>
  <c r="S1230" i="1"/>
  <c r="T1230" i="1"/>
  <c r="U1230" i="1"/>
  <c r="BB1230" i="1"/>
  <c r="BW1230" i="1"/>
  <c r="A1231" i="1"/>
  <c r="C1231" i="1"/>
  <c r="S1231" i="1"/>
  <c r="T1231" i="1"/>
  <c r="U1231" i="1"/>
  <c r="BB1231" i="1"/>
  <c r="BW1231" i="1"/>
  <c r="A1232" i="1"/>
  <c r="C1232" i="1"/>
  <c r="S1232" i="1"/>
  <c r="T1232" i="1"/>
  <c r="U1232" i="1"/>
  <c r="BB1232" i="1"/>
  <c r="BW1232" i="1"/>
  <c r="A1233" i="1"/>
  <c r="C1233" i="1"/>
  <c r="S1233" i="1"/>
  <c r="T1233" i="1"/>
  <c r="U1233" i="1"/>
  <c r="BB1233" i="1"/>
  <c r="BW1233" i="1"/>
  <c r="A1234" i="1"/>
  <c r="C1234" i="1"/>
  <c r="S1234" i="1"/>
  <c r="T1234" i="1"/>
  <c r="U1234" i="1"/>
  <c r="BB1234" i="1"/>
  <c r="BW1234" i="1"/>
  <c r="A1235" i="1"/>
  <c r="C1235" i="1"/>
  <c r="S1235" i="1"/>
  <c r="T1235" i="1"/>
  <c r="U1235" i="1"/>
  <c r="BB1235" i="1"/>
  <c r="BW1235" i="1"/>
  <c r="A1236" i="1"/>
  <c r="C1236" i="1"/>
  <c r="S1236" i="1"/>
  <c r="T1236" i="1"/>
  <c r="U1236" i="1"/>
  <c r="BB1236" i="1"/>
  <c r="BW1236" i="1"/>
  <c r="A1237" i="1"/>
  <c r="C1237" i="1"/>
  <c r="S1237" i="1"/>
  <c r="T1237" i="1"/>
  <c r="U1237" i="1"/>
  <c r="BB1237" i="1"/>
  <c r="BW1237" i="1"/>
  <c r="A1238" i="1"/>
  <c r="C1238" i="1"/>
  <c r="S1238" i="1"/>
  <c r="T1238" i="1"/>
  <c r="U1238" i="1"/>
  <c r="BB1238" i="1"/>
  <c r="BW1238" i="1"/>
  <c r="A1239" i="1"/>
  <c r="C1239" i="1"/>
  <c r="S1239" i="1"/>
  <c r="T1239" i="1"/>
  <c r="U1239" i="1"/>
  <c r="BB1239" i="1"/>
  <c r="BW1239" i="1"/>
  <c r="A1240" i="1"/>
  <c r="C1240" i="1"/>
  <c r="S1240" i="1"/>
  <c r="T1240" i="1"/>
  <c r="U1240" i="1"/>
  <c r="BB1240" i="1"/>
  <c r="BW1240" i="1"/>
  <c r="A1241" i="1"/>
  <c r="C1241" i="1"/>
  <c r="S1241" i="1"/>
  <c r="T1241" i="1"/>
  <c r="U1241" i="1"/>
  <c r="BB1241" i="1"/>
  <c r="BW1241" i="1"/>
  <c r="A1242" i="1"/>
  <c r="C1242" i="1"/>
  <c r="S1242" i="1"/>
  <c r="T1242" i="1"/>
  <c r="U1242" i="1"/>
  <c r="BB1242" i="1"/>
  <c r="BW1242" i="1"/>
  <c r="A1243" i="1"/>
  <c r="C1243" i="1"/>
  <c r="S1243" i="1"/>
  <c r="T1243" i="1"/>
  <c r="U1243" i="1"/>
  <c r="BB1243" i="1"/>
  <c r="BW1243" i="1"/>
  <c r="A1244" i="1"/>
  <c r="C1244" i="1"/>
  <c r="S1244" i="1"/>
  <c r="T1244" i="1"/>
  <c r="U1244" i="1"/>
  <c r="BB1244" i="1"/>
  <c r="BW1244" i="1"/>
  <c r="A1245" i="1"/>
  <c r="C1245" i="1"/>
  <c r="S1245" i="1"/>
  <c r="T1245" i="1"/>
  <c r="U1245" i="1"/>
  <c r="BB1245" i="1"/>
  <c r="BW1245" i="1"/>
  <c r="A1246" i="1"/>
  <c r="C1246" i="1"/>
  <c r="S1246" i="1"/>
  <c r="T1246" i="1"/>
  <c r="U1246" i="1"/>
  <c r="BB1246" i="1"/>
  <c r="BW1246" i="1"/>
  <c r="A1247" i="1"/>
  <c r="C1247" i="1"/>
  <c r="S1247" i="1"/>
  <c r="T1247" i="1"/>
  <c r="U1247" i="1"/>
  <c r="BB1247" i="1"/>
  <c r="BW1247" i="1"/>
  <c r="A1248" i="1"/>
  <c r="C1248" i="1"/>
  <c r="S1248" i="1"/>
  <c r="T1248" i="1"/>
  <c r="U1248" i="1"/>
  <c r="BB1248" i="1"/>
  <c r="BW1248" i="1"/>
  <c r="A1249" i="1"/>
  <c r="C1249" i="1"/>
  <c r="S1249" i="1"/>
  <c r="T1249" i="1"/>
  <c r="U1249" i="1"/>
  <c r="BB1249" i="1"/>
  <c r="BW1249" i="1"/>
  <c r="A1250" i="1"/>
  <c r="C1250" i="1"/>
  <c r="S1250" i="1"/>
  <c r="T1250" i="1"/>
  <c r="U1250" i="1"/>
  <c r="BB1250" i="1"/>
  <c r="BW1250" i="1"/>
  <c r="A1251" i="1"/>
  <c r="C1251" i="1"/>
  <c r="S1251" i="1"/>
  <c r="T1251" i="1"/>
  <c r="U1251" i="1"/>
  <c r="BB1251" i="1"/>
  <c r="BW1251" i="1"/>
  <c r="A1252" i="1"/>
  <c r="C1252" i="1"/>
  <c r="S1252" i="1"/>
  <c r="T1252" i="1"/>
  <c r="U1252" i="1"/>
  <c r="BB1252" i="1"/>
  <c r="BW1252" i="1"/>
  <c r="A1253" i="1"/>
  <c r="C1253" i="1"/>
  <c r="S1253" i="1"/>
  <c r="T1253" i="1"/>
  <c r="U1253" i="1"/>
  <c r="BB1253" i="1"/>
  <c r="BW1253" i="1"/>
  <c r="A1254" i="1"/>
  <c r="C1254" i="1"/>
  <c r="S1254" i="1"/>
  <c r="T1254" i="1"/>
  <c r="U1254" i="1"/>
  <c r="BB1254" i="1"/>
  <c r="BW1254" i="1"/>
  <c r="A1255" i="1"/>
  <c r="C1255" i="1"/>
  <c r="S1255" i="1"/>
  <c r="T1255" i="1"/>
  <c r="U1255" i="1"/>
  <c r="BB1255" i="1"/>
  <c r="BW1255" i="1"/>
  <c r="A1256" i="1"/>
  <c r="C1256" i="1"/>
  <c r="S1256" i="1"/>
  <c r="T1256" i="1"/>
  <c r="U1256" i="1"/>
  <c r="BB1256" i="1"/>
  <c r="BW1256" i="1"/>
</calcChain>
</file>

<file path=xl/sharedStrings.xml><?xml version="1.0" encoding="utf-8"?>
<sst xmlns="http://schemas.openxmlformats.org/spreadsheetml/2006/main" count="8898" uniqueCount="1350">
  <si>
    <t>Time</t>
  </si>
  <si>
    <t>DeType</t>
  </si>
  <si>
    <t>FRNs</t>
  </si>
  <si>
    <t>SAC</t>
  </si>
  <si>
    <t>SIC</t>
  </si>
  <si>
    <t>CTVID</t>
  </si>
  <si>
    <t>CTVName</t>
  </si>
  <si>
    <t>SVID</t>
  </si>
  <si>
    <t>SVName</t>
  </si>
  <si>
    <t>SVType</t>
  </si>
  <si>
    <t>VersStat</t>
  </si>
  <si>
    <t>AstxVers</t>
  </si>
  <si>
    <t>UnkVers</t>
  </si>
  <si>
    <t>LinkVers</t>
  </si>
  <si>
    <t>1090ES</t>
  </si>
  <si>
    <t>UAT</t>
  </si>
  <si>
    <t>Non ADS-B</t>
  </si>
  <si>
    <t>TIS-B</t>
  </si>
  <si>
    <t>PosToa</t>
  </si>
  <si>
    <t>VelToa</t>
  </si>
  <si>
    <t>ModeSId</t>
  </si>
  <si>
    <t>Qual</t>
  </si>
  <si>
    <t>Dupl</t>
  </si>
  <si>
    <t>TgtSVType</t>
  </si>
  <si>
    <t>TrackNum</t>
  </si>
  <si>
    <t>UTC</t>
  </si>
  <si>
    <t>NIC</t>
  </si>
  <si>
    <t>SIL</t>
  </si>
  <si>
    <t>SIL-S</t>
  </si>
  <si>
    <t>NAC-P</t>
  </si>
  <si>
    <t>TestMode</t>
  </si>
  <si>
    <t>Valid</t>
  </si>
  <si>
    <t>NAC-V</t>
  </si>
  <si>
    <t>NIC-B</t>
  </si>
  <si>
    <t>Lat</t>
  </si>
  <si>
    <t>LatDeg</t>
  </si>
  <si>
    <t>Lon</t>
  </si>
  <si>
    <t>LonDeg</t>
  </si>
  <si>
    <t>Res</t>
  </si>
  <si>
    <t>PressAlt</t>
  </si>
  <si>
    <t>VVSrc</t>
  </si>
  <si>
    <t>Vx</t>
  </si>
  <si>
    <t>Vy</t>
  </si>
  <si>
    <t>Vz</t>
  </si>
  <si>
    <t>TrkOrHdgVal</t>
  </si>
  <si>
    <t>TrkOrHdgInd</t>
  </si>
  <si>
    <t>HRD</t>
  </si>
  <si>
    <t>Angle</t>
  </si>
  <si>
    <t>GrndSpd</t>
  </si>
  <si>
    <t>LWC</t>
  </si>
  <si>
    <t>POA</t>
  </si>
  <si>
    <t>Aid</t>
  </si>
  <si>
    <t>AidVal</t>
  </si>
  <si>
    <t>FlightId</t>
  </si>
  <si>
    <t>EmitCat</t>
  </si>
  <si>
    <t>RxAtc(FRN14)</t>
  </si>
  <si>
    <t>Ident(FRN14)</t>
  </si>
  <si>
    <t>SurvStat</t>
  </si>
  <si>
    <t>EmerPriStat</t>
  </si>
  <si>
    <t>GeomAlt</t>
  </si>
  <si>
    <t>SAF</t>
  </si>
  <si>
    <t>UATInCap</t>
  </si>
  <si>
    <t>1090InCap</t>
  </si>
  <si>
    <t>TCAS</t>
  </si>
  <si>
    <t>CDTI</t>
  </si>
  <si>
    <t>RxAtc(FRN16)</t>
  </si>
  <si>
    <t>Ident(FRN16)</t>
  </si>
  <si>
    <t>TcasRa</t>
  </si>
  <si>
    <t>ARA</t>
  </si>
  <si>
    <t>RAC</t>
  </si>
  <si>
    <t>RAT</t>
  </si>
  <si>
    <t>MTE</t>
  </si>
  <si>
    <t>TTI</t>
  </si>
  <si>
    <t>TID</t>
  </si>
  <si>
    <t>TOMR</t>
  </si>
  <si>
    <t>GPSLatOff</t>
  </si>
  <si>
    <t>GPSLonOff</t>
  </si>
  <si>
    <t>SelAltType</t>
  </si>
  <si>
    <t>SelAlt</t>
  </si>
  <si>
    <t>Baro</t>
  </si>
  <si>
    <t>SelHdg</t>
  </si>
  <si>
    <t>McpFcuSt</t>
  </si>
  <si>
    <t>AutoPilot</t>
  </si>
  <si>
    <t>VNav</t>
  </si>
  <si>
    <t>AltHold</t>
  </si>
  <si>
    <t>Approach</t>
  </si>
  <si>
    <t>LNav</t>
  </si>
  <si>
    <t>EnhVal</t>
  </si>
  <si>
    <t>GVA</t>
  </si>
  <si>
    <t>NIC6Supp</t>
  </si>
  <si>
    <t>SDA</t>
  </si>
  <si>
    <t>UATUpFdBk</t>
  </si>
  <si>
    <t>SQL</t>
  </si>
  <si>
    <t>EqType</t>
  </si>
  <si>
    <t>LocId</t>
  </si>
  <si>
    <t>Inst</t>
  </si>
  <si>
    <t>RSID</t>
  </si>
  <si>
    <t>DSName</t>
  </si>
  <si>
    <t>RadarName</t>
  </si>
  <si>
    <t>AsdeXName</t>
  </si>
  <si>
    <t>ReportId</t>
  </si>
  <si>
    <t>TimeOrig</t>
  </si>
  <si>
    <t>TIS-B Client</t>
  </si>
  <si>
    <t>AirOnGnd</t>
  </si>
  <si>
    <t>DupMsg</t>
  </si>
  <si>
    <t>SquitMap</t>
  </si>
  <si>
    <t>RwyTaxi</t>
  </si>
  <si>
    <t>InRule</t>
  </si>
  <si>
    <t>X_Rule</t>
  </si>
  <si>
    <t>X_ME</t>
  </si>
  <si>
    <t>X_IA</t>
  </si>
  <si>
    <t>X_KM</t>
  </si>
  <si>
    <t>X_OC</t>
  </si>
  <si>
    <t>DA</t>
  </si>
  <si>
    <t>Minneapolis</t>
  </si>
  <si>
    <t>Enroute</t>
  </si>
  <si>
    <t>045:37:50.08 N</t>
  </si>
  <si>
    <t>089:28:31.68 W</t>
  </si>
  <si>
    <t>GNSS</t>
  </si>
  <si>
    <t>RS - HP 1090 Multi Chl Radio</t>
  </si>
  <si>
    <t>C1</t>
  </si>
  <si>
    <t>EnrouteCTV</t>
  </si>
  <si>
    <t>045:37:49.84 N</t>
  </si>
  <si>
    <t>089:28:34.93 W</t>
  </si>
  <si>
    <t>089:28:38.09 W</t>
  </si>
  <si>
    <t>045:37:49.69 N</t>
  </si>
  <si>
    <t>089:28:41.57 W</t>
  </si>
  <si>
    <t>045:37:49.54 N</t>
  </si>
  <si>
    <t>089:28:44.20 W</t>
  </si>
  <si>
    <t>045:37:49.61 N</t>
  </si>
  <si>
    <t>089:28:45.82 W</t>
  </si>
  <si>
    <t>045:37:49.46 N</t>
  </si>
  <si>
    <t>089:28:48.99 W</t>
  </si>
  <si>
    <t>045:37:49.30 N</t>
  </si>
  <si>
    <t>089:28:52.46 W</t>
  </si>
  <si>
    <t>045:37:49.23 N</t>
  </si>
  <si>
    <t>089:28:55.32 W</t>
  </si>
  <si>
    <t>045:37:49.15 N</t>
  </si>
  <si>
    <t>089:28:58.87 W</t>
  </si>
  <si>
    <t>089:29:02.35 W</t>
  </si>
  <si>
    <t>045:37:48.99 N</t>
  </si>
  <si>
    <t>089:29:05.59 W</t>
  </si>
  <si>
    <t>045:37:49.07 N</t>
  </si>
  <si>
    <t>089:29:08.61 W</t>
  </si>
  <si>
    <t>045:37:48.92 N</t>
  </si>
  <si>
    <t>089:29:11.23 W</t>
  </si>
  <si>
    <t>089:29:14.94 W</t>
  </si>
  <si>
    <t>089:29:18.19 W</t>
  </si>
  <si>
    <t>089:29:21.12 W</t>
  </si>
  <si>
    <t>089:29:23.75 W</t>
  </si>
  <si>
    <t>089:29:26.84 W</t>
  </si>
  <si>
    <t>089:29:30.31 W</t>
  </si>
  <si>
    <t>089:29:33.48 W</t>
  </si>
  <si>
    <t>045:37:50.54 N</t>
  </si>
  <si>
    <t>089:29:38.50 W</t>
  </si>
  <si>
    <t>045:37:51.39 N</t>
  </si>
  <si>
    <t>089:29:41.90 W</t>
  </si>
  <si>
    <t>045:37:52.16 N</t>
  </si>
  <si>
    <t>089:29:44.60 W</t>
  </si>
  <si>
    <t>045:37:53.01 N</t>
  </si>
  <si>
    <t>089:29:47.31 W</t>
  </si>
  <si>
    <t>045:37:54.17 N</t>
  </si>
  <si>
    <t>089:29:50.32 W</t>
  </si>
  <si>
    <t>045:37:55.64 N</t>
  </si>
  <si>
    <t>089:29:53.41 W</t>
  </si>
  <si>
    <t>045:37:57.34 N</t>
  </si>
  <si>
    <t>089:29:56.73 W</t>
  </si>
  <si>
    <t>045:37:59.04 N</t>
  </si>
  <si>
    <t>089:29:59.44 W</t>
  </si>
  <si>
    <t>045:38:00.89 N</t>
  </si>
  <si>
    <t>089:30:01.91 W</t>
  </si>
  <si>
    <t>045:38:02.74 N</t>
  </si>
  <si>
    <t>089:30:04.15 W</t>
  </si>
  <si>
    <t>045:38:04.75 N</t>
  </si>
  <si>
    <t>089:30:06.39 W</t>
  </si>
  <si>
    <t>045:38:06.76 N</t>
  </si>
  <si>
    <t>089:30:08.63 W</t>
  </si>
  <si>
    <t>045:38:09.16 N</t>
  </si>
  <si>
    <t>089:30:10.56 W</t>
  </si>
  <si>
    <t>045:38:11.09 N</t>
  </si>
  <si>
    <t>089:30:12.03 W</t>
  </si>
  <si>
    <t>045:38:13.25 N</t>
  </si>
  <si>
    <t>089:30:13.57 W</t>
  </si>
  <si>
    <t>045:38:15.95 N</t>
  </si>
  <si>
    <t>089:30:15.12 W</t>
  </si>
  <si>
    <t>045:38:18.50 N</t>
  </si>
  <si>
    <t>089:30:16.28 W</t>
  </si>
  <si>
    <t>045:38:21.05 N</t>
  </si>
  <si>
    <t>089:30:17.36 W</t>
  </si>
  <si>
    <t>045:38:23.52 N</t>
  </si>
  <si>
    <t>089:30:18.21 W</t>
  </si>
  <si>
    <t>045:38:26.15 N</t>
  </si>
  <si>
    <t>089:30:18.98 W</t>
  </si>
  <si>
    <t>045:38:28.39 N</t>
  </si>
  <si>
    <t>089:30:19.44 W</t>
  </si>
  <si>
    <t>045:38:30.71 N</t>
  </si>
  <si>
    <t>089:30:19.98 W</t>
  </si>
  <si>
    <t>045:38:32.87 N</t>
  </si>
  <si>
    <t>089:30:20.45 W</t>
  </si>
  <si>
    <t>045:38:35.34 N</t>
  </si>
  <si>
    <t>089:30:20.68 W</t>
  </si>
  <si>
    <t>045:38:39.05 N</t>
  </si>
  <si>
    <t>089:30:21.45 W</t>
  </si>
  <si>
    <t>045:38:41.60 N</t>
  </si>
  <si>
    <t>089:30:21.68 W</t>
  </si>
  <si>
    <t>045:38:44.46 N</t>
  </si>
  <si>
    <t>089:30:22.15 W</t>
  </si>
  <si>
    <t>045:38:46.78 N</t>
  </si>
  <si>
    <t>089:30:22.46 W</t>
  </si>
  <si>
    <t>045:38:49.56 N</t>
  </si>
  <si>
    <t>089:30:22.61 W</t>
  </si>
  <si>
    <t>045:38:52.49 N</t>
  </si>
  <si>
    <t>089:30:22.92 W</t>
  </si>
  <si>
    <t>045:38:55.04 N</t>
  </si>
  <si>
    <t>089:30:23.15 W</t>
  </si>
  <si>
    <t>045:38:57.98 N</t>
  </si>
  <si>
    <t>089:30:23.38 W</t>
  </si>
  <si>
    <t>045:39:00.60 N</t>
  </si>
  <si>
    <t>089:30:23.61 W</t>
  </si>
  <si>
    <t>045:39:02.84 N</t>
  </si>
  <si>
    <t>089:30:23.69 W</t>
  </si>
  <si>
    <t>045:39:05.55 N</t>
  </si>
  <si>
    <t>089:30:23.92 W</t>
  </si>
  <si>
    <t>045:39:08.25 N</t>
  </si>
  <si>
    <t>045:39:10.95 N</t>
  </si>
  <si>
    <t>045:39:13.58 N</t>
  </si>
  <si>
    <t>089:30:23.46 W</t>
  </si>
  <si>
    <t>045:39:15.90 N</t>
  </si>
  <si>
    <t>089:30:23.07 W</t>
  </si>
  <si>
    <t>045:39:18.83 N</t>
  </si>
  <si>
    <t>045:39:21.46 N</t>
  </si>
  <si>
    <t>045:39:23.85 N</t>
  </si>
  <si>
    <t>045:39:26.33 N</t>
  </si>
  <si>
    <t>089:30:19.75 W</t>
  </si>
  <si>
    <t>045:39:29.03 N</t>
  </si>
  <si>
    <t>045:39:31.73 N</t>
  </si>
  <si>
    <t>089:30:16.82 W</t>
  </si>
  <si>
    <t>045:39:34.67 N</t>
  </si>
  <si>
    <t>089:30:14.88 W</t>
  </si>
  <si>
    <t>045:39:36.75 N</t>
  </si>
  <si>
    <t>045:39:39.30 N</t>
  </si>
  <si>
    <t>089:30:11.56 W</t>
  </si>
  <si>
    <t>045:39:41.16 N</t>
  </si>
  <si>
    <t>089:30:10.10 W</t>
  </si>
  <si>
    <t>045:39:43.24 N</t>
  </si>
  <si>
    <t>089:30:08.16 W</t>
  </si>
  <si>
    <t>045:39:45.56 N</t>
  </si>
  <si>
    <t>089:30:06.00 W</t>
  </si>
  <si>
    <t>045:39:47.80 N</t>
  </si>
  <si>
    <t>089:30:03.68 W</t>
  </si>
  <si>
    <t>045:39:49.96 N</t>
  </si>
  <si>
    <t>089:30:01.68 W</t>
  </si>
  <si>
    <t>045:39:52.36 N</t>
  </si>
  <si>
    <t>089:29:58.97 W</t>
  </si>
  <si>
    <t>045:39:54.14 N</t>
  </si>
  <si>
    <t>089:29:56.96 W</t>
  </si>
  <si>
    <t>045:39:56.14 N</t>
  </si>
  <si>
    <t>089:29:54.72 W</t>
  </si>
  <si>
    <t>045:39:58.15 N</t>
  </si>
  <si>
    <t>089:29:52.25 W</t>
  </si>
  <si>
    <t>045:40:00.39 N</t>
  </si>
  <si>
    <t>089:29:49.32 W</t>
  </si>
  <si>
    <t>045:40:01.86 N</t>
  </si>
  <si>
    <t>089:29:47.38 W</t>
  </si>
  <si>
    <t>045:40:03.71 N</t>
  </si>
  <si>
    <t>089:29:44.84 W</t>
  </si>
  <si>
    <t>045:40:05.65 N</t>
  </si>
  <si>
    <t>045:40:07.27 N</t>
  </si>
  <si>
    <t>089:29:39.20 W</t>
  </si>
  <si>
    <t>045:40:08.89 N</t>
  </si>
  <si>
    <t>089:29:36.49 W</t>
  </si>
  <si>
    <t>045:40:10.59 N</t>
  </si>
  <si>
    <t>089:29:33.25 W</t>
  </si>
  <si>
    <t>045:40:12.29 N</t>
  </si>
  <si>
    <t>045:40:13.60 N</t>
  </si>
  <si>
    <t>089:29:27.38 W</t>
  </si>
  <si>
    <t>045:40:15.30 N</t>
  </si>
  <si>
    <t>089:29:23.82 W</t>
  </si>
  <si>
    <t>045:40:16.77 N</t>
  </si>
  <si>
    <t>089:29:20.66 W</t>
  </si>
  <si>
    <t>045:40:18.16 N</t>
  </si>
  <si>
    <t>089:29:17.41 W</t>
  </si>
  <si>
    <t>045:40:19.70 N</t>
  </si>
  <si>
    <t>089:29:13.63 W</t>
  </si>
  <si>
    <t>045:40:21.17 N</t>
  </si>
  <si>
    <t>089:29:10.31 W</t>
  </si>
  <si>
    <t>045:40:22.49 N</t>
  </si>
  <si>
    <t>089:29:06.91 W</t>
  </si>
  <si>
    <t>045:40:23.95 N</t>
  </si>
  <si>
    <t>089:29:03.51 W</t>
  </si>
  <si>
    <t>045:40:25.27 N</t>
  </si>
  <si>
    <t>089:29:00.19 W</t>
  </si>
  <si>
    <t>045:40:26.50 N</t>
  </si>
  <si>
    <t>089:28:57.17 W</t>
  </si>
  <si>
    <t>045:40:28.12 N</t>
  </si>
  <si>
    <t>089:28:53.39 W</t>
  </si>
  <si>
    <t>045:40:29.67 N</t>
  </si>
  <si>
    <t>089:28:49.76 W</t>
  </si>
  <si>
    <t>045:40:30.91 N</t>
  </si>
  <si>
    <t>089:28:46.67 W</t>
  </si>
  <si>
    <t>045:40:32.53 N</t>
  </si>
  <si>
    <t>089:28:43.04 W</t>
  </si>
  <si>
    <t>045:40:33.84 N</t>
  </si>
  <si>
    <t>089:28:40.10 W</t>
  </si>
  <si>
    <t>045:40:35.31 N</t>
  </si>
  <si>
    <t>089:28:36.78 W</t>
  </si>
  <si>
    <t>045:40:36.62 N</t>
  </si>
  <si>
    <t>089:28:33.38 W</t>
  </si>
  <si>
    <t>045:40:38.17 N</t>
  </si>
  <si>
    <t>089:28:30.21 W</t>
  </si>
  <si>
    <t>045:40:39.71 N</t>
  </si>
  <si>
    <t>089:28:26.51 W</t>
  </si>
  <si>
    <t>045:40:40.95 N</t>
  </si>
  <si>
    <t>089:28:23.49 W</t>
  </si>
  <si>
    <t>045:40:42.42 N</t>
  </si>
  <si>
    <t>089:28:20.33 W</t>
  </si>
  <si>
    <t>045:40:43.88 N</t>
  </si>
  <si>
    <t>089:28:17.00 W</t>
  </si>
  <si>
    <t>045:40:45.74 N</t>
  </si>
  <si>
    <t>089:28:13.37 W</t>
  </si>
  <si>
    <t>045:40:47.44 N</t>
  </si>
  <si>
    <t>089:28:09.67 W</t>
  </si>
  <si>
    <t>045:40:48.83 N</t>
  </si>
  <si>
    <t>089:28:06.89 W</t>
  </si>
  <si>
    <t>045:40:50.45 N</t>
  </si>
  <si>
    <t>089:28:03.49 W</t>
  </si>
  <si>
    <t>045:40:52.15 N</t>
  </si>
  <si>
    <t>089:28:00.09 W</t>
  </si>
  <si>
    <t>045:40:54.00 N</t>
  </si>
  <si>
    <t>089:27:56.84 W</t>
  </si>
  <si>
    <t>045:40:55.47 N</t>
  </si>
  <si>
    <t>089:27:53.91 W</t>
  </si>
  <si>
    <t>045:40:57.17 N</t>
  </si>
  <si>
    <t>089:27:50.66 W</t>
  </si>
  <si>
    <t>045:40:58.87 N</t>
  </si>
  <si>
    <t>089:27:47.73 W</t>
  </si>
  <si>
    <t>045:41:00.57 N</t>
  </si>
  <si>
    <t>089:27:44.41 W</t>
  </si>
  <si>
    <t>045:41:02.19 N</t>
  </si>
  <si>
    <t>089:27:41.55 W</t>
  </si>
  <si>
    <t>045:41:03.74 N</t>
  </si>
  <si>
    <t>089:27:38.77 W</t>
  </si>
  <si>
    <t>045:41:05.51 N</t>
  </si>
  <si>
    <t>089:27:35.52 W</t>
  </si>
  <si>
    <t>045:41:07.13 N</t>
  </si>
  <si>
    <t>089:27:32.59 W</t>
  </si>
  <si>
    <t>045:41:08.76 N</t>
  </si>
  <si>
    <t>089:27:29.73 W</t>
  </si>
  <si>
    <t>045:41:10.61 N</t>
  </si>
  <si>
    <t>089:27:26.41 W</t>
  </si>
  <si>
    <t>045:41:12.08 N</t>
  </si>
  <si>
    <t>089:27:23.47 W</t>
  </si>
  <si>
    <t>045:41:13.78 N</t>
  </si>
  <si>
    <t>089:27:20.54 W</t>
  </si>
  <si>
    <t>045:41:15.09 N</t>
  </si>
  <si>
    <t>089:27:18.30 W</t>
  </si>
  <si>
    <t>045:41:16.87 N</t>
  </si>
  <si>
    <t>089:27:14.98 W</t>
  </si>
  <si>
    <t>045:41:18.49 N</t>
  </si>
  <si>
    <t>089:27:12.12 W</t>
  </si>
  <si>
    <t>045:41:20.19 N</t>
  </si>
  <si>
    <t>089:27:09.18 W</t>
  </si>
  <si>
    <t>045:41:21.66 N</t>
  </si>
  <si>
    <t>089:27:06.63 W</t>
  </si>
  <si>
    <t>045:41:23.43 N</t>
  </si>
  <si>
    <t>089:27:03.39 W</t>
  </si>
  <si>
    <t>045:41:25.13 N</t>
  </si>
  <si>
    <t>089:27:00.76 W</t>
  </si>
  <si>
    <t>045:41:26.52 N</t>
  </si>
  <si>
    <t>089:26:57.98 W</t>
  </si>
  <si>
    <t>045:41:28.07 N</t>
  </si>
  <si>
    <t>089:26:55.43 W</t>
  </si>
  <si>
    <t>045:41:29.69 N</t>
  </si>
  <si>
    <t>089:26:52.57 W</t>
  </si>
  <si>
    <t>045:41:31.00 N</t>
  </si>
  <si>
    <t>089:26:50.10 W</t>
  </si>
  <si>
    <t>045:41:32.55 N</t>
  </si>
  <si>
    <t>089:26:47.47 W</t>
  </si>
  <si>
    <t>045:41:34.40 N</t>
  </si>
  <si>
    <t>089:26:44.38 W</t>
  </si>
  <si>
    <t>045:41:35.87 N</t>
  </si>
  <si>
    <t>089:26:41.45 W</t>
  </si>
  <si>
    <t>045:41:37.57 N</t>
  </si>
  <si>
    <t>089:26:38.51 W</t>
  </si>
  <si>
    <t>045:41:39.27 N</t>
  </si>
  <si>
    <t>089:26:35.42 W</t>
  </si>
  <si>
    <t>045:41:41.05 N</t>
  </si>
  <si>
    <t>089:26:32.33 W</t>
  </si>
  <si>
    <t>045:41:42.75 N</t>
  </si>
  <si>
    <t>089:26:29.32 W</t>
  </si>
  <si>
    <t>045:41:44.52 N</t>
  </si>
  <si>
    <t>089:26:26.08 W</t>
  </si>
  <si>
    <t>045:41:45.84 N</t>
  </si>
  <si>
    <t>089:26:23.84 W</t>
  </si>
  <si>
    <t>045:41:47.30 N</t>
  </si>
  <si>
    <t>089:26:21.21 W</t>
  </si>
  <si>
    <t>045:41:49.16 N</t>
  </si>
  <si>
    <t>089:26:17.81 W</t>
  </si>
  <si>
    <t>045:41:50.62 N</t>
  </si>
  <si>
    <t>089:26:15.26 W</t>
  </si>
  <si>
    <t>045:41:52.17 N</t>
  </si>
  <si>
    <t>089:26:12.56 W</t>
  </si>
  <si>
    <t>045:41:53.64 N</t>
  </si>
  <si>
    <t>089:26:09.78 W</t>
  </si>
  <si>
    <t>045:41:55.41 N</t>
  </si>
  <si>
    <t>089:26:06.53 W</t>
  </si>
  <si>
    <t>045:41:57.11 N</t>
  </si>
  <si>
    <t>089:26:03.60 W</t>
  </si>
  <si>
    <t>045:41:58.74 N</t>
  </si>
  <si>
    <t>089:26:00.74 W</t>
  </si>
  <si>
    <t>045:42:00.51 N</t>
  </si>
  <si>
    <t>089:25:57.42 W</t>
  </si>
  <si>
    <t>045:42:02.21 N</t>
  </si>
  <si>
    <t>089:25:54.25 W</t>
  </si>
  <si>
    <t>045:42:03.68 N</t>
  </si>
  <si>
    <t>089:25:51.55 W</t>
  </si>
  <si>
    <t>045:42:05.53 N</t>
  </si>
  <si>
    <t>089:25:48.30 W</t>
  </si>
  <si>
    <t>045:42:07.46 N</t>
  </si>
  <si>
    <t>089:25:45.06 W</t>
  </si>
  <si>
    <t>045:42:08.93 N</t>
  </si>
  <si>
    <t>089:25:42.36 W</t>
  </si>
  <si>
    <t>045:42:10.40 N</t>
  </si>
  <si>
    <t>089:25:39.50 W</t>
  </si>
  <si>
    <t>045:42:12.25 N</t>
  </si>
  <si>
    <t>089:25:36.18 W</t>
  </si>
  <si>
    <t>045:42:14.11 N</t>
  </si>
  <si>
    <t>089:25:33.24 W</t>
  </si>
  <si>
    <t>045:42:15.81 N</t>
  </si>
  <si>
    <t>089:25:30.00 W</t>
  </si>
  <si>
    <t>045:42:17.20 N</t>
  </si>
  <si>
    <t>089:25:27.45 W</t>
  </si>
  <si>
    <t>045:42:18.82 N</t>
  </si>
  <si>
    <t>089:25:24.59 W</t>
  </si>
  <si>
    <t>045:42:20.29 N</t>
  </si>
  <si>
    <t>089:25:21.88 W</t>
  </si>
  <si>
    <t>045:42:21.83 N</t>
  </si>
  <si>
    <t>089:25:19.10 W</t>
  </si>
  <si>
    <t>045:42:23.69 N</t>
  </si>
  <si>
    <t>089:25:15.94 W</t>
  </si>
  <si>
    <t>045:42:25.08 N</t>
  </si>
  <si>
    <t>089:25:13.23 W</t>
  </si>
  <si>
    <t>045:42:26.70 N</t>
  </si>
  <si>
    <t>089:25:10.45 W</t>
  </si>
  <si>
    <t>045:42:28.32 N</t>
  </si>
  <si>
    <t>089:25:07.28 W</t>
  </si>
  <si>
    <t>045:42:30.33 N</t>
  </si>
  <si>
    <t>089:25:04.04 W</t>
  </si>
  <si>
    <t>045:42:32.03 N</t>
  </si>
  <si>
    <t>089:25:00.95 W</t>
  </si>
  <si>
    <t>045:42:33.57 N</t>
  </si>
  <si>
    <t>089:24:58.09 W</t>
  </si>
  <si>
    <t>045:42:35.12 N</t>
  </si>
  <si>
    <t>089:24:55.39 W</t>
  </si>
  <si>
    <t>045:42:36.74 N</t>
  </si>
  <si>
    <t>089:24:52.45 W</t>
  </si>
  <si>
    <t>045:42:38.36 N</t>
  </si>
  <si>
    <t>089:24:49.44 W</t>
  </si>
  <si>
    <t>045:42:40.60 N</t>
  </si>
  <si>
    <t>089:24:45.73 W</t>
  </si>
  <si>
    <t>045:42:42.46 N</t>
  </si>
  <si>
    <t>089:24:42.57 W</t>
  </si>
  <si>
    <t>045:42:44.08 N</t>
  </si>
  <si>
    <t>089:24:39.32 W</t>
  </si>
  <si>
    <t>045:42:45.93 N</t>
  </si>
  <si>
    <t>089:24:36.39 W</t>
  </si>
  <si>
    <t>045:42:47.87 N</t>
  </si>
  <si>
    <t>089:24:32.91 W</t>
  </si>
  <si>
    <t>045:42:49.80 N</t>
  </si>
  <si>
    <t>089:24:29.43 W</t>
  </si>
  <si>
    <t>045:42:51.26 N</t>
  </si>
  <si>
    <t>089:24:26.65 W</t>
  </si>
  <si>
    <t>045:42:53.35 N</t>
  </si>
  <si>
    <t>089:24:23.25 W</t>
  </si>
  <si>
    <t>045:42:54.97 N</t>
  </si>
  <si>
    <t>089:24:20.09 W</t>
  </si>
  <si>
    <t>045:42:56.83 N</t>
  </si>
  <si>
    <t>089:24:17.07 W</t>
  </si>
  <si>
    <t>045:42:58.37 N</t>
  </si>
  <si>
    <t>089:24:14.37 W</t>
  </si>
  <si>
    <t>045:43:00.22 N</t>
  </si>
  <si>
    <t>089:24:11.20 W</t>
  </si>
  <si>
    <t>045:43:01.85 N</t>
  </si>
  <si>
    <t>089:24:08.42 W</t>
  </si>
  <si>
    <t>045:43:03.70 N</t>
  </si>
  <si>
    <t>089:24:05.25 W</t>
  </si>
  <si>
    <t>045:43:05.32 N</t>
  </si>
  <si>
    <t>089:24:02.55 W</t>
  </si>
  <si>
    <t>045:43:07.25 N</t>
  </si>
  <si>
    <t>089:23:59.08 W</t>
  </si>
  <si>
    <t>045:43:08.95 N</t>
  </si>
  <si>
    <t>089:23:56.29 W</t>
  </si>
  <si>
    <t>045:43:10.89 N</t>
  </si>
  <si>
    <t>089:23:52.90 W</t>
  </si>
  <si>
    <t>045:43:12.89 N</t>
  </si>
  <si>
    <t>089:23:49.26 W</t>
  </si>
  <si>
    <t>045:43:14.67 N</t>
  </si>
  <si>
    <t>089:23:46.41 W</t>
  </si>
  <si>
    <t>045:43:16.29 N</t>
  </si>
  <si>
    <t>089:23:43.47 W</t>
  </si>
  <si>
    <t>045:43:18.15 N</t>
  </si>
  <si>
    <t>089:23:40.54 W</t>
  </si>
  <si>
    <t>045:43:19.92 N</t>
  </si>
  <si>
    <t>089:23:37.29 W</t>
  </si>
  <si>
    <t>045:43:22.16 N</t>
  </si>
  <si>
    <t>089:23:33.58 W</t>
  </si>
  <si>
    <t>045:43:23.48 N</t>
  </si>
  <si>
    <t>089:23:31.11 W</t>
  </si>
  <si>
    <t>045:43:25.56 N</t>
  </si>
  <si>
    <t>089:23:27.56 W</t>
  </si>
  <si>
    <t>045:43:27.18 N</t>
  </si>
  <si>
    <t>089:23:24.70 W</t>
  </si>
  <si>
    <t>045:43:29.04 N</t>
  </si>
  <si>
    <t>089:23:21.69 W</t>
  </si>
  <si>
    <t>045:43:30.66 N</t>
  </si>
  <si>
    <t>089:23:18.91 W</t>
  </si>
  <si>
    <t>045:43:32.67 N</t>
  </si>
  <si>
    <t>089:23:15.28 W</t>
  </si>
  <si>
    <t>045:43:34.52 N</t>
  </si>
  <si>
    <t>089:23:12.34 W</t>
  </si>
  <si>
    <t>045:43:36.15 N</t>
  </si>
  <si>
    <t>089:23:09.48 W</t>
  </si>
  <si>
    <t>045:43:37.69 N</t>
  </si>
  <si>
    <t>089:23:06.62 W</t>
  </si>
  <si>
    <t>045:43:39.54 N</t>
  </si>
  <si>
    <t>089:23:03.46 W</t>
  </si>
  <si>
    <t>045:43:41.40 N</t>
  </si>
  <si>
    <t>089:23:00.44 W</t>
  </si>
  <si>
    <t>045:43:43.02 N</t>
  </si>
  <si>
    <t>089:22:57.66 W</t>
  </si>
  <si>
    <t>045:43:44.57 N</t>
  </si>
  <si>
    <t>089:22:54.81 W</t>
  </si>
  <si>
    <t>045:43:46.11 N</t>
  </si>
  <si>
    <t>089:22:52.33 W</t>
  </si>
  <si>
    <t>045:43:48.12 N</t>
  </si>
  <si>
    <t>089:22:48.78 W</t>
  </si>
  <si>
    <t>045:43:49.97 N</t>
  </si>
  <si>
    <t>089:22:45.61 W</t>
  </si>
  <si>
    <t>045:43:51.67 N</t>
  </si>
  <si>
    <t>089:22:42.91 W</t>
  </si>
  <si>
    <t>045:43:53.29 N</t>
  </si>
  <si>
    <t>089:22:40.05 W</t>
  </si>
  <si>
    <t>045:43:55.07 N</t>
  </si>
  <si>
    <t>089:22:36.96 W</t>
  </si>
  <si>
    <t>045:43:56.69 N</t>
  </si>
  <si>
    <t>089:22:34.26 W</t>
  </si>
  <si>
    <t>045:43:58.39 N</t>
  </si>
  <si>
    <t>089:22:31.40 W</t>
  </si>
  <si>
    <t>045:44:00.17 N</t>
  </si>
  <si>
    <t>089:22:28.46 W</t>
  </si>
  <si>
    <t>045:44:02.18 N</t>
  </si>
  <si>
    <t>089:22:25.14 W</t>
  </si>
  <si>
    <t>045:44:04.03 N</t>
  </si>
  <si>
    <t>089:22:21.90 W</t>
  </si>
  <si>
    <t>045:44:06.12 N</t>
  </si>
  <si>
    <t>089:22:18.58 W</t>
  </si>
  <si>
    <t>045:44:08.13 N</t>
  </si>
  <si>
    <t>089:22:15.72 W</t>
  </si>
  <si>
    <t>045:44:09.75 N</t>
  </si>
  <si>
    <t>089:22:13.01 W</t>
  </si>
  <si>
    <t>045:44:11.68 N</t>
  </si>
  <si>
    <t>089:22:09.69 W</t>
  </si>
  <si>
    <t>045:44:13.46 N</t>
  </si>
  <si>
    <t>089:22:06.83 W</t>
  </si>
  <si>
    <t>045:44:15.77 N</t>
  </si>
  <si>
    <t>089:22:03.36 W</t>
  </si>
  <si>
    <t>045:44:17.24 N</t>
  </si>
  <si>
    <t>089:22:00.89 W</t>
  </si>
  <si>
    <t>045:44:19.33 N</t>
  </si>
  <si>
    <t>089:21:57.64 W</t>
  </si>
  <si>
    <t>045:44:21.26 N</t>
  </si>
  <si>
    <t>089:21:54.47 W</t>
  </si>
  <si>
    <t>045:44:23.42 N</t>
  </si>
  <si>
    <t>089:21:51.15 W</t>
  </si>
  <si>
    <t>045:44:25.43 N</t>
  </si>
  <si>
    <t>089:21:47.99 W</t>
  </si>
  <si>
    <t>045:44:27.51 N</t>
  </si>
  <si>
    <t>089:21:44.59 W</t>
  </si>
  <si>
    <t>045:44:29.68 N</t>
  </si>
  <si>
    <t>089:21:41.34 W</t>
  </si>
  <si>
    <t>045:44:31.30 N</t>
  </si>
  <si>
    <t>089:21:38.79 W</t>
  </si>
  <si>
    <t>045:44:33.31 N</t>
  </si>
  <si>
    <t>089:21:35.70 W</t>
  </si>
  <si>
    <t>045:44:34.85 N</t>
  </si>
  <si>
    <t>089:21:33.23 W</t>
  </si>
  <si>
    <t>045:44:36.86 N</t>
  </si>
  <si>
    <t>089:21:30.22 W</t>
  </si>
  <si>
    <t>045:44:38.56 N</t>
  </si>
  <si>
    <t>089:21:27.52 W</t>
  </si>
  <si>
    <t>045:44:40.57 N</t>
  </si>
  <si>
    <t>089:21:24.27 W</t>
  </si>
  <si>
    <t>045:44:42.42 N</t>
  </si>
  <si>
    <t>089:21:21.34 W</t>
  </si>
  <si>
    <t>045:44:44.51 N</t>
  </si>
  <si>
    <t>089:21:18.32 W</t>
  </si>
  <si>
    <t>045:44:46.29 N</t>
  </si>
  <si>
    <t>089:21:15.62 W</t>
  </si>
  <si>
    <t>045:44:48.29 N</t>
  </si>
  <si>
    <t>089:21:12.53 W</t>
  </si>
  <si>
    <t>045:44:50.46 N</t>
  </si>
  <si>
    <t>089:21:09.21 W</t>
  </si>
  <si>
    <t>045:44:52.31 N</t>
  </si>
  <si>
    <t>089:21:06.50 W</t>
  </si>
  <si>
    <t>045:44:54.47 N</t>
  </si>
  <si>
    <t>089:21:03.03 W</t>
  </si>
  <si>
    <t>045:44:56.17 N</t>
  </si>
  <si>
    <t>089:21:00.25 W</t>
  </si>
  <si>
    <t>045:44:57.80 N</t>
  </si>
  <si>
    <t>089:20:57.85 W</t>
  </si>
  <si>
    <t>045:44:59.88 N</t>
  </si>
  <si>
    <t>089:20:54.92 W</t>
  </si>
  <si>
    <t>045:45:01.50 N</t>
  </si>
  <si>
    <t>089:20:52.29 W</t>
  </si>
  <si>
    <t>045:45:03.28 N</t>
  </si>
  <si>
    <t>089:20:49.35 W</t>
  </si>
  <si>
    <t>045:45:05.13 N</t>
  </si>
  <si>
    <t>089:20:46.50 W</t>
  </si>
  <si>
    <t>045:45:07.07 N</t>
  </si>
  <si>
    <t>089:20:43.56 W</t>
  </si>
  <si>
    <t>045:45:09.07 N</t>
  </si>
  <si>
    <t>089:20:40.55 W</t>
  </si>
  <si>
    <t>045:45:10.70 N</t>
  </si>
  <si>
    <t>089:20:38.08 W</t>
  </si>
  <si>
    <t>045:45:12.40 N</t>
  </si>
  <si>
    <t>089:20:35.37 W</t>
  </si>
  <si>
    <t>045:45:14.48 N</t>
  </si>
  <si>
    <t>089:20:32.28 W</t>
  </si>
  <si>
    <t>045:45:16.41 N</t>
  </si>
  <si>
    <t>089:20:29.19 W</t>
  </si>
  <si>
    <t>045:45:18.81 N</t>
  </si>
  <si>
    <t>089:20:25.72 W</t>
  </si>
  <si>
    <t>045:45:20.66 N</t>
  </si>
  <si>
    <t>089:20:22.78 W</t>
  </si>
  <si>
    <t>045:45:22.59 N</t>
  </si>
  <si>
    <t>089:20:19.69 W</t>
  </si>
  <si>
    <t>045:45:24.29 N</t>
  </si>
  <si>
    <t>089:20:17.07 W</t>
  </si>
  <si>
    <t>045:45:25.68 N</t>
  </si>
  <si>
    <t>089:20:14.83 W</t>
  </si>
  <si>
    <t>045:45:27.46 N</t>
  </si>
  <si>
    <t>089:20:11.89 W</t>
  </si>
  <si>
    <t>045:45:29.47 N</t>
  </si>
  <si>
    <t>089:20:08.88 W</t>
  </si>
  <si>
    <t>045:45:31.55 N</t>
  </si>
  <si>
    <t>089:20:05.71 W</t>
  </si>
  <si>
    <t>045:45:33.33 N</t>
  </si>
  <si>
    <t>089:20:02.70 W</t>
  </si>
  <si>
    <t>045:45:35.18 N</t>
  </si>
  <si>
    <t>089:19:59.99 W</t>
  </si>
  <si>
    <t>045:45:37.04 N</t>
  </si>
  <si>
    <t>089:19:57.06 W</t>
  </si>
  <si>
    <t>045:45:38.58 N</t>
  </si>
  <si>
    <t>089:19:54.43 W</t>
  </si>
  <si>
    <t>045:45:40.59 N</t>
  </si>
  <si>
    <t>089:19:51.34 W</t>
  </si>
  <si>
    <t>045:45:42.21 N</t>
  </si>
  <si>
    <t>089:19:48.41 W</t>
  </si>
  <si>
    <t>045:45:43.76 N</t>
  </si>
  <si>
    <t>089:19:46.17 W</t>
  </si>
  <si>
    <t>045:45:45.46 N</t>
  </si>
  <si>
    <t>089:19:43.23 W</t>
  </si>
  <si>
    <t>045:45:47.47 N</t>
  </si>
  <si>
    <t>089:19:39.91 W</t>
  </si>
  <si>
    <t>045:45:48.78 N</t>
  </si>
  <si>
    <t>089:19:37.75 W</t>
  </si>
  <si>
    <t>045:45:50.56 N</t>
  </si>
  <si>
    <t>089:19:34.89 W</t>
  </si>
  <si>
    <t>045:45:52.49 N</t>
  </si>
  <si>
    <t>089:19:31.57 W</t>
  </si>
  <si>
    <t>045:45:54.03 N</t>
  </si>
  <si>
    <t>089:19:29.09 W</t>
  </si>
  <si>
    <t>045:45:55.89 N</t>
  </si>
  <si>
    <t>089:19:26.16 W</t>
  </si>
  <si>
    <t>045:45:57.51 N</t>
  </si>
  <si>
    <t>089:19:23.07 W</t>
  </si>
  <si>
    <t>045:45:59.52 N</t>
  </si>
  <si>
    <t>089:19:19.98 W</t>
  </si>
  <si>
    <t>045:46:01.22 N</t>
  </si>
  <si>
    <t>089:19:16.97 W</t>
  </si>
  <si>
    <t>045:46:03.15 N</t>
  </si>
  <si>
    <t>089:19:13.88 W</t>
  </si>
  <si>
    <t>045:46:04.77 N</t>
  </si>
  <si>
    <t>089:19:10.71 W</t>
  </si>
  <si>
    <t>045:46:06.39 N</t>
  </si>
  <si>
    <t>089:19:07.85 W</t>
  </si>
  <si>
    <t>045:46:08.25 N</t>
  </si>
  <si>
    <t>089:19:04.99 W</t>
  </si>
  <si>
    <t>045:46:09.71 N</t>
  </si>
  <si>
    <t>089:19:02.44 W</t>
  </si>
  <si>
    <t>045:46:11.41 N</t>
  </si>
  <si>
    <t>089:18:59.43 W</t>
  </si>
  <si>
    <t>045:46:13.42 N</t>
  </si>
  <si>
    <t>089:18:55.72 W</t>
  </si>
  <si>
    <t>045:46:15.12 N</t>
  </si>
  <si>
    <t>089:18:53.02 W</t>
  </si>
  <si>
    <t>045:46:16.67 N</t>
  </si>
  <si>
    <t>089:18:50.24 W</t>
  </si>
  <si>
    <t>045:46:18.29 N</t>
  </si>
  <si>
    <t>089:18:47.38 W</t>
  </si>
  <si>
    <t>045:46:19.76 N</t>
  </si>
  <si>
    <t>089:18:44.60 W</t>
  </si>
  <si>
    <t>045:46:21.46 N</t>
  </si>
  <si>
    <t>089:18:41.66 W</t>
  </si>
  <si>
    <t>045:46:23.15 N</t>
  </si>
  <si>
    <t>089:18:38.65 W</t>
  </si>
  <si>
    <t>045:46:25.16 N</t>
  </si>
  <si>
    <t>089:18:34.94 W</t>
  </si>
  <si>
    <t>045:46:26.79 N</t>
  </si>
  <si>
    <t>089:18:32.01 W</t>
  </si>
  <si>
    <t>045:46:28.33 N</t>
  </si>
  <si>
    <t>089:18:29.23 W</t>
  </si>
  <si>
    <t>045:46:30.03 N</t>
  </si>
  <si>
    <t>089:18:26.60 W</t>
  </si>
  <si>
    <t>045:46:32.04 N</t>
  </si>
  <si>
    <t>089:18:22.89 W</t>
  </si>
  <si>
    <t>045:46:33.97 N</t>
  </si>
  <si>
    <t>089:18:19.65 W</t>
  </si>
  <si>
    <t>045:46:35.59 N</t>
  </si>
  <si>
    <t>089:18:16.48 W</t>
  </si>
  <si>
    <t>045:46:37.37 N</t>
  </si>
  <si>
    <t>089:18:13.31 W</t>
  </si>
  <si>
    <t>045:46:39.22 N</t>
  </si>
  <si>
    <t>089:18:09.99 W</t>
  </si>
  <si>
    <t>045:46:41.15 N</t>
  </si>
  <si>
    <t>089:18:06.36 W</t>
  </si>
  <si>
    <t>045:46:43.08 N</t>
  </si>
  <si>
    <t>089:18:03.12 W</t>
  </si>
  <si>
    <t>045:46:44.78 N</t>
  </si>
  <si>
    <t>089:17:59.87 W</t>
  </si>
  <si>
    <t>045:46:46.56 N</t>
  </si>
  <si>
    <t>089:17:56.63 W</t>
  </si>
  <si>
    <t>045:46:48.26 N</t>
  </si>
  <si>
    <t>089:17:53.46 W</t>
  </si>
  <si>
    <t>045:46:50.11 N</t>
  </si>
  <si>
    <t>089:17:50.22 W</t>
  </si>
  <si>
    <t>045:46:51.81 N</t>
  </si>
  <si>
    <t>089:17:46.74 W</t>
  </si>
  <si>
    <t>045:46:53.67 N</t>
  </si>
  <si>
    <t>089:17:43.57 W</t>
  </si>
  <si>
    <t>045:46:55.29 N</t>
  </si>
  <si>
    <t>089:17:40.33 W</t>
  </si>
  <si>
    <t>045:46:57.14 N</t>
  </si>
  <si>
    <t>089:17:36.85 W</t>
  </si>
  <si>
    <t>045:46:59.15 N</t>
  </si>
  <si>
    <t>089:17:32.91 W</t>
  </si>
  <si>
    <t>045:47:01.01 N</t>
  </si>
  <si>
    <t>089:17:29.75 W</t>
  </si>
  <si>
    <t>045:47:02.63 N</t>
  </si>
  <si>
    <t>089:17:26.58 W</t>
  </si>
  <si>
    <t>045:47:04.17 N</t>
  </si>
  <si>
    <t>089:17:23.57 W</t>
  </si>
  <si>
    <t>045:47:05.87 N</t>
  </si>
  <si>
    <t>089:17:20.32 W</t>
  </si>
  <si>
    <t>045:47:07.73 N</t>
  </si>
  <si>
    <t>089:17:16.85 W</t>
  </si>
  <si>
    <t>045:47:09.50 N</t>
  </si>
  <si>
    <t>089:17:13.06 W</t>
  </si>
  <si>
    <t>045:47:11.20 N</t>
  </si>
  <si>
    <t>089:17:09.97 W</t>
  </si>
  <si>
    <t>045:47:13.13 N</t>
  </si>
  <si>
    <t>089:17:06.34 W</t>
  </si>
  <si>
    <t>045:47:14.99 N</t>
  </si>
  <si>
    <t>089:17:02.94 W</t>
  </si>
  <si>
    <t>045:47:16.46 N</t>
  </si>
  <si>
    <t>089:16:59.78 W</t>
  </si>
  <si>
    <t>045:47:18.08 N</t>
  </si>
  <si>
    <t>089:16:56.69 W</t>
  </si>
  <si>
    <t>045:47:20.09 N</t>
  </si>
  <si>
    <t>089:16:52.67 W</t>
  </si>
  <si>
    <t>045:47:21.48 N</t>
  </si>
  <si>
    <t>089:16:49.89 W</t>
  </si>
  <si>
    <t>045:47:23.33 N</t>
  </si>
  <si>
    <t>089:16:46.49 W</t>
  </si>
  <si>
    <t>045:47:24.88 N</t>
  </si>
  <si>
    <t>089:16:43.17 W</t>
  </si>
  <si>
    <t>045:47:26.65 N</t>
  </si>
  <si>
    <t>089:16:39.77 W</t>
  </si>
  <si>
    <t>045:47:28.51 N</t>
  </si>
  <si>
    <t>089:16:35.83 W</t>
  </si>
  <si>
    <t>045:47:30.44 N</t>
  </si>
  <si>
    <t>089:16:31.81 W</t>
  </si>
  <si>
    <t>045:47:32.29 N</t>
  </si>
  <si>
    <t>089:16:28.41 W</t>
  </si>
  <si>
    <t>045:47:34.07 N</t>
  </si>
  <si>
    <t>089:16:24.86 W</t>
  </si>
  <si>
    <t>045:47:36.00 N</t>
  </si>
  <si>
    <t>089:16:20.76 W</t>
  </si>
  <si>
    <t>045:47:37.70 N</t>
  </si>
  <si>
    <t>089:16:17.60 W</t>
  </si>
  <si>
    <t>045:47:39.24 N</t>
  </si>
  <si>
    <t>089:16:14.35 W</t>
  </si>
  <si>
    <t>045:47:41.17 N</t>
  </si>
  <si>
    <t>089:16:10.34 W</t>
  </si>
  <si>
    <t>045:47:42.95 N</t>
  </si>
  <si>
    <t>089:16:06.71 W</t>
  </si>
  <si>
    <t>045:47:44.57 N</t>
  </si>
  <si>
    <t>089:16:03.46 W</t>
  </si>
  <si>
    <t>045:47:46.27 N</t>
  </si>
  <si>
    <t>089:16:00.22 W</t>
  </si>
  <si>
    <t>045:47:47.97 N</t>
  </si>
  <si>
    <t>089:15:57.05 W</t>
  </si>
  <si>
    <t>045:47:49.90 N</t>
  </si>
  <si>
    <t>089:15:52.96 W</t>
  </si>
  <si>
    <t>045:47:51.76 N</t>
  </si>
  <si>
    <t>089:15:49.09 W</t>
  </si>
  <si>
    <t>045:47:53.61 N</t>
  </si>
  <si>
    <t>089:15:45.39 W</t>
  </si>
  <si>
    <t>045:47:55.31 N</t>
  </si>
  <si>
    <t>089:15:42.14 W</t>
  </si>
  <si>
    <t>045:47:57.16 N</t>
  </si>
  <si>
    <t>089:15:38.51 W</t>
  </si>
  <si>
    <t>045:47:58.94 N</t>
  </si>
  <si>
    <t>089:15:34.88 W</t>
  </si>
  <si>
    <t>045:48:01.03 N</t>
  </si>
  <si>
    <t>089:15:30.79 W</t>
  </si>
  <si>
    <t>045:48:02.88 N</t>
  </si>
  <si>
    <t>089:15:27.39 W</t>
  </si>
  <si>
    <t>045:48:04.66 N</t>
  </si>
  <si>
    <t>089:15:23.68 W</t>
  </si>
  <si>
    <t>045:48:06.51 N</t>
  </si>
  <si>
    <t>089:15:19.97 W</t>
  </si>
  <si>
    <t>045:48:08.37 N</t>
  </si>
  <si>
    <t>089:15:16.49 W</t>
  </si>
  <si>
    <t>045:48:10.22 N</t>
  </si>
  <si>
    <t>089:15:12.79 W</t>
  </si>
  <si>
    <t>045:48:12.07 N</t>
  </si>
  <si>
    <t>089:15:09.08 W</t>
  </si>
  <si>
    <t>045:48:13.54 N</t>
  </si>
  <si>
    <t>089:15:06.38 W</t>
  </si>
  <si>
    <t>045:48:15.09 N</t>
  </si>
  <si>
    <t>089:15:03.05 W</t>
  </si>
  <si>
    <t>045:48:16.94 N</t>
  </si>
  <si>
    <t>089:14:59.65 W</t>
  </si>
  <si>
    <t>045:48:18.56 N</t>
  </si>
  <si>
    <t>089:14:56.57 W</t>
  </si>
  <si>
    <t>045:48:20.42 N</t>
  </si>
  <si>
    <t>089:14:52.70 W</t>
  </si>
  <si>
    <t>045:48:22.12 N</t>
  </si>
  <si>
    <t>089:14:49.54 W</t>
  </si>
  <si>
    <t>045:48:23.97 N</t>
  </si>
  <si>
    <t>089:14:45.83 W</t>
  </si>
  <si>
    <t>045:48:25.98 N</t>
  </si>
  <si>
    <t>089:14:42.12 W</t>
  </si>
  <si>
    <t>045:48:27.99 N</t>
  </si>
  <si>
    <t>089:14:38.49 W</t>
  </si>
  <si>
    <t>045:48:29.69 N</t>
  </si>
  <si>
    <t>089:14:35.17 W</t>
  </si>
  <si>
    <t>045:48:31.54 N</t>
  </si>
  <si>
    <t>089:14:31.46 W</t>
  </si>
  <si>
    <t>045:48:33.24 N</t>
  </si>
  <si>
    <t>089:14:28.37 W</t>
  </si>
  <si>
    <t>045:48:35.25 N</t>
  </si>
  <si>
    <t>089:14:24.74 W</t>
  </si>
  <si>
    <t>045:48:37.02 N</t>
  </si>
  <si>
    <t>089:14:21.11 W</t>
  </si>
  <si>
    <t>045:48:39.03 N</t>
  </si>
  <si>
    <t>089:14:17.48 W</t>
  </si>
  <si>
    <t>045:48:41.04 N</t>
  </si>
  <si>
    <t>089:14:13.69 W</t>
  </si>
  <si>
    <t>045:48:43.05 N</t>
  </si>
  <si>
    <t>089:14:09.98 W</t>
  </si>
  <si>
    <t>045:48:44.90 N</t>
  </si>
  <si>
    <t>089:14:06.51 W</t>
  </si>
  <si>
    <t>045:48:47.07 N</t>
  </si>
  <si>
    <t>089:14:02.57 W</t>
  </si>
  <si>
    <t>045:48:49.08 N</t>
  </si>
  <si>
    <t>089:13:58.63 W</t>
  </si>
  <si>
    <t>045:48:51.08 N</t>
  </si>
  <si>
    <t>089:13:55.15 W</t>
  </si>
  <si>
    <t>045:48:52.86 N</t>
  </si>
  <si>
    <t>089:13:51.91 W</t>
  </si>
  <si>
    <t>045:48:54.87 N</t>
  </si>
  <si>
    <t>089:13:48.28 W</t>
  </si>
  <si>
    <t>045:48:56.80 N</t>
  </si>
  <si>
    <t>089:13:44.49 W</t>
  </si>
  <si>
    <t>045:48:58.65 N</t>
  </si>
  <si>
    <t>089:13:41.33 W</t>
  </si>
  <si>
    <t>045:49:00.59 N</t>
  </si>
  <si>
    <t>089:13:37.70 W</t>
  </si>
  <si>
    <t>045:49:02.36 N</t>
  </si>
  <si>
    <t>089:13:34.61 W</t>
  </si>
  <si>
    <t>045:49:04.37 N</t>
  </si>
  <si>
    <t>089:13:31.21 W</t>
  </si>
  <si>
    <t>045:49:06.38 N</t>
  </si>
  <si>
    <t>089:13:27.50 W</t>
  </si>
  <si>
    <t>045:49:08.23 N</t>
  </si>
  <si>
    <t>089:13:24.02 W</t>
  </si>
  <si>
    <t>045:49:10.01 N</t>
  </si>
  <si>
    <t>089:13:21.09 W</t>
  </si>
  <si>
    <t>045:49:12.25 N</t>
  </si>
  <si>
    <t>089:13:17.07 W</t>
  </si>
  <si>
    <t>045:49:14.41 N</t>
  </si>
  <si>
    <t>089:13:13.36 W</t>
  </si>
  <si>
    <t>045:49:16.27 N</t>
  </si>
  <si>
    <t>089:13:10.20 W</t>
  </si>
  <si>
    <t>045:49:17.89 N</t>
  </si>
  <si>
    <t>089:13:07.11 W</t>
  </si>
  <si>
    <t>045:49:20.36 N</t>
  </si>
  <si>
    <t>089:13:02.93 W</t>
  </si>
  <si>
    <t>045:49:22.37 N</t>
  </si>
  <si>
    <t>089:12:59.61 W</t>
  </si>
  <si>
    <t>045:49:24.15 N</t>
  </si>
  <si>
    <t>089:12:56.29 W</t>
  </si>
  <si>
    <t>045:49:26.15 N</t>
  </si>
  <si>
    <t>089:12:53.12 W</t>
  </si>
  <si>
    <t>045:49:28.01 N</t>
  </si>
  <si>
    <t>089:12:49.65 W</t>
  </si>
  <si>
    <t>045:49:30.02 N</t>
  </si>
  <si>
    <t>089:12:46.17 W</t>
  </si>
  <si>
    <t>045:49:31.95 N</t>
  </si>
  <si>
    <t>089:12:42.93 W</t>
  </si>
  <si>
    <t>045:49:34.03 N</t>
  </si>
  <si>
    <t>089:12:39.30 W</t>
  </si>
  <si>
    <t>045:49:35.89 N</t>
  </si>
  <si>
    <t>089:12:36.21 W</t>
  </si>
  <si>
    <t>045:49:37.82 N</t>
  </si>
  <si>
    <t>089:12:32.81 W</t>
  </si>
  <si>
    <t>045:49:39.52 N</t>
  </si>
  <si>
    <t>089:12:29.64 W</t>
  </si>
  <si>
    <t>045:49:41.29 N</t>
  </si>
  <si>
    <t>089:12:26.55 W</t>
  </si>
  <si>
    <t>045:49:43.53 N</t>
  </si>
  <si>
    <t>089:12:22.92 W</t>
  </si>
  <si>
    <t>045:49:45.23 N</t>
  </si>
  <si>
    <t>089:12:19.83 W</t>
  </si>
  <si>
    <t>045:49:47.09 N</t>
  </si>
  <si>
    <t>089:12:16.74 W</t>
  </si>
  <si>
    <t>045:49:48.86 N</t>
  </si>
  <si>
    <t>089:12:13.80 W</t>
  </si>
  <si>
    <t>045:49:50.80 N</t>
  </si>
  <si>
    <t>089:12:10.87 W</t>
  </si>
  <si>
    <t>045:49:52.50 N</t>
  </si>
  <si>
    <t>089:12:07.78 W</t>
  </si>
  <si>
    <t>045:49:54.66 N</t>
  </si>
  <si>
    <t>089:12:03.92 W</t>
  </si>
  <si>
    <t>045:49:56.44 N</t>
  </si>
  <si>
    <t>089:12:00.98 W</t>
  </si>
  <si>
    <t>045:49:58.29 N</t>
  </si>
  <si>
    <t>089:11:57.97 W</t>
  </si>
  <si>
    <t>045:50:00.45 N</t>
  </si>
  <si>
    <t>089:11:54.26 W</t>
  </si>
  <si>
    <t>045:50:02.07 N</t>
  </si>
  <si>
    <t>089:11:51.56 W</t>
  </si>
  <si>
    <t>045:50:03.85 N</t>
  </si>
  <si>
    <t>089:11:48.31 W</t>
  </si>
  <si>
    <t>045:50:06.01 N</t>
  </si>
  <si>
    <t>089:11:44.84 W</t>
  </si>
  <si>
    <t>045:50:08.18 N</t>
  </si>
  <si>
    <t>089:11:41.21 W</t>
  </si>
  <si>
    <t>045:50:10.19 N</t>
  </si>
  <si>
    <t>089:11:37.73 W</t>
  </si>
  <si>
    <t>045:50:12.43 N</t>
  </si>
  <si>
    <t>089:11:33.94 W</t>
  </si>
  <si>
    <t>045:50:14.20 N</t>
  </si>
  <si>
    <t>089:11:31.01 W</t>
  </si>
  <si>
    <t>045:50:16.29 N</t>
  </si>
  <si>
    <t>089:11:27.61 W</t>
  </si>
  <si>
    <t>045:50:18.06 N</t>
  </si>
  <si>
    <t>089:11:24.60 W</t>
  </si>
  <si>
    <t>045:50:20.38 N</t>
  </si>
  <si>
    <t>089:11:20.74 W</t>
  </si>
  <si>
    <t>045:50:22.31 N</t>
  </si>
  <si>
    <t>089:11:17.34 W</t>
  </si>
  <si>
    <t>045:50:24.32 N</t>
  </si>
  <si>
    <t>089:11:13.94 W</t>
  </si>
  <si>
    <t>045:50:26.33 N</t>
  </si>
  <si>
    <t>089:11:10.62 W</t>
  </si>
  <si>
    <t>045:50:28.49 N</t>
  </si>
  <si>
    <t>089:11:06.83 W</t>
  </si>
  <si>
    <t>045:50:30.50 N</t>
  </si>
  <si>
    <t>089:11:03.35 W</t>
  </si>
  <si>
    <t>045:50:32.82 N</t>
  </si>
  <si>
    <t>089:10:59.41 W</t>
  </si>
  <si>
    <t>045:50:35.06 N</t>
  </si>
  <si>
    <t>089:10:55.63 W</t>
  </si>
  <si>
    <t>045:50:36.99 N</t>
  </si>
  <si>
    <t>089:10:52.23 W</t>
  </si>
  <si>
    <t>045:50:38.69 N</t>
  </si>
  <si>
    <t>089:10:49.30 W</t>
  </si>
  <si>
    <t>045:50:40.70 N</t>
  </si>
  <si>
    <t>089:10:45.82 W</t>
  </si>
  <si>
    <t>045:50:42.47 N</t>
  </si>
  <si>
    <t>089:10:42.88 W</t>
  </si>
  <si>
    <t>045:50:44.56 N</t>
  </si>
  <si>
    <t>089:10:39.10 W</t>
  </si>
  <si>
    <t>045:50:46.57 N</t>
  </si>
  <si>
    <t>089:10:35.70 W</t>
  </si>
  <si>
    <t>045:50:48.42 N</t>
  </si>
  <si>
    <t>089:10:32.22 W</t>
  </si>
  <si>
    <t>045:50:50.66 N</t>
  </si>
  <si>
    <t>089:10:28.59 W</t>
  </si>
  <si>
    <t>045:50:52.13 N</t>
  </si>
  <si>
    <t>089:10:25.97 W</t>
  </si>
  <si>
    <t>045:50:54.29 N</t>
  </si>
  <si>
    <t>089:10:22.10 W</t>
  </si>
  <si>
    <t>045:50:56.46 N</t>
  </si>
  <si>
    <t>089:10:18.47 W</t>
  </si>
  <si>
    <t>045:50:58.62 N</t>
  </si>
  <si>
    <t>089:10:14.69 W</t>
  </si>
  <si>
    <t>045:51:00.71 N</t>
  </si>
  <si>
    <t>089:10:11.06 W</t>
  </si>
  <si>
    <t>045:51:02.71 N</t>
  </si>
  <si>
    <t>089:10:07.66 W</t>
  </si>
  <si>
    <t>045:51:04.34 N</t>
  </si>
  <si>
    <t>089:10:04.49 W</t>
  </si>
  <si>
    <t>045:51:06.34 N</t>
  </si>
  <si>
    <t>089:10:01.09 W</t>
  </si>
  <si>
    <t>045:51:07.97 N</t>
  </si>
  <si>
    <t>089:09:58.00 W</t>
  </si>
  <si>
    <t>045:51:10.21 N</t>
  </si>
  <si>
    <t>089:09:54.37 W</t>
  </si>
  <si>
    <t>045:51:12.06 N</t>
  </si>
  <si>
    <t>089:09:50.90 W</t>
  </si>
  <si>
    <t>045:51:13.76 N</t>
  </si>
  <si>
    <t>089:09:47.88 W</t>
  </si>
  <si>
    <t>045:51:15.77 N</t>
  </si>
  <si>
    <t>089:09:44.25 W</t>
  </si>
  <si>
    <t>045:51:17.70 N</t>
  </si>
  <si>
    <t>089:09:40.85 W</t>
  </si>
  <si>
    <t>045:51:19.71 N</t>
  </si>
  <si>
    <t>089:09:37.53 W</t>
  </si>
  <si>
    <t>045:51:21.41 N</t>
  </si>
  <si>
    <t>089:09:34.37 W</t>
  </si>
  <si>
    <t>045:51:23.80 N</t>
  </si>
  <si>
    <t>089:09:30.19 W</t>
  </si>
  <si>
    <t>045:51:25.97 N</t>
  </si>
  <si>
    <t>089:09:26.41 W</t>
  </si>
  <si>
    <t>045:51:28.13 N</t>
  </si>
  <si>
    <t>089:09:22.47 W</t>
  </si>
  <si>
    <t>045:51:29.98 N</t>
  </si>
  <si>
    <t>089:09:19.07 W</t>
  </si>
  <si>
    <t>045:51:32.22 N</t>
  </si>
  <si>
    <t>089:09:15.29 W</t>
  </si>
  <si>
    <t>045:51:33.84 N</t>
  </si>
  <si>
    <t>089:09:12.43 W</t>
  </si>
  <si>
    <t>045:51:35.54 N</t>
  </si>
  <si>
    <t>089:09:09.41 W</t>
  </si>
  <si>
    <t>045:51:37.55 N</t>
  </si>
  <si>
    <t>089:09:05.94 W</t>
  </si>
  <si>
    <t>045:51:39.79 N</t>
  </si>
  <si>
    <t>089:09:02.08 W</t>
  </si>
  <si>
    <t>045:51:41.80 N</t>
  </si>
  <si>
    <t>089:08:58.45 W</t>
  </si>
  <si>
    <t>045:51:43.89 N</t>
  </si>
  <si>
    <t>089:08:54.58 W</t>
  </si>
  <si>
    <t>045:51:45.74 N</t>
  </si>
  <si>
    <t>089:08:51.42 W</t>
  </si>
  <si>
    <t>045:51:47.67 N</t>
  </si>
  <si>
    <t>089:08:47.78 W</t>
  </si>
  <si>
    <t>045:51:49.68 N</t>
  </si>
  <si>
    <t>089:08:44.23 W</t>
  </si>
  <si>
    <t>045:51:51.92 N</t>
  </si>
  <si>
    <t>089:08:40.45 W</t>
  </si>
  <si>
    <t>045:51:53.47 N</t>
  </si>
  <si>
    <t>089:08:37.51 W</t>
  </si>
  <si>
    <t>045:51:55.32 N</t>
  </si>
  <si>
    <t>089:08:34.34 W</t>
  </si>
  <si>
    <t>045:51:57.64 N</t>
  </si>
  <si>
    <t>089:08:30.33 W</t>
  </si>
  <si>
    <t>045:51:59.65 N</t>
  </si>
  <si>
    <t>089:08:26.62 W</t>
  </si>
  <si>
    <t>045:52:01.34 N</t>
  </si>
  <si>
    <t>089:08:23.45 W</t>
  </si>
  <si>
    <t>045:52:03.66 N</t>
  </si>
  <si>
    <t>089:08:19.44 W</t>
  </si>
  <si>
    <t>045:52:05.52 N</t>
  </si>
  <si>
    <t>089:08:16.19 W</t>
  </si>
  <si>
    <t>045:52:07.45 N</t>
  </si>
  <si>
    <t>089:08:12.64 W</t>
  </si>
  <si>
    <t>045:52:09.61 N</t>
  </si>
  <si>
    <t>089:08:08.77 W</t>
  </si>
  <si>
    <t>045:52:11.62 N</t>
  </si>
  <si>
    <t>089:08:05.14 W</t>
  </si>
  <si>
    <t>045:52:13.86 N</t>
  </si>
  <si>
    <t>089:08:01.20 W</t>
  </si>
  <si>
    <t>045:52:15.94 N</t>
  </si>
  <si>
    <t>089:07:57.50 W</t>
  </si>
  <si>
    <t>045:52:18.11 N</t>
  </si>
  <si>
    <t>089:07:53.79 W</t>
  </si>
  <si>
    <t>045:52:20.12 N</t>
  </si>
  <si>
    <t>089:07:50.08 W</t>
  </si>
  <si>
    <t>045:52:22.28 N</t>
  </si>
  <si>
    <t>089:07:45.83 W</t>
  </si>
  <si>
    <t>045:52:24.29 N</t>
  </si>
  <si>
    <t>089:07:42.67 W</t>
  </si>
  <si>
    <t>045:52:26.30 N</t>
  </si>
  <si>
    <t>089:07:38.96 W</t>
  </si>
  <si>
    <t>045:52:28.54 N</t>
  </si>
  <si>
    <t>089:07:34.79 W</t>
  </si>
  <si>
    <t>045:52:30.70 N</t>
  </si>
  <si>
    <t>089:07:30.92 W</t>
  </si>
  <si>
    <t>045:52:32.86 N</t>
  </si>
  <si>
    <t>089:07:27.06 W</t>
  </si>
  <si>
    <t>045:52:35.02 N</t>
  </si>
  <si>
    <t>089:07:23.20 W</t>
  </si>
  <si>
    <t>045:52:36.88 N</t>
  </si>
  <si>
    <t>089:07:19.88 W</t>
  </si>
  <si>
    <t>045:52:39.04 N</t>
  </si>
  <si>
    <t>089:07:15.94 W</t>
  </si>
  <si>
    <t>045:52:41.44 N</t>
  </si>
  <si>
    <t>089:07:11.84 W</t>
  </si>
  <si>
    <t>045:52:43.60 N</t>
  </si>
  <si>
    <t>089:07:07.75 W</t>
  </si>
  <si>
    <t>045:52:45.68 N</t>
  </si>
  <si>
    <t>089:07:03.89 W</t>
  </si>
  <si>
    <t>045:52:47.85 N</t>
  </si>
  <si>
    <t>089:07:00.02 W</t>
  </si>
  <si>
    <t>045:52:49.78 N</t>
  </si>
  <si>
    <t>089:06:56.63 W</t>
  </si>
  <si>
    <t>045:52:52.17 N</t>
  </si>
  <si>
    <t>089:06:52.30 W</t>
  </si>
  <si>
    <t>045:52:54.65 N</t>
  </si>
  <si>
    <t>089:06:47.97 W</t>
  </si>
  <si>
    <t>045:52:56.89 N</t>
  </si>
  <si>
    <t>089:06:43.88 W</t>
  </si>
  <si>
    <t>045:52:59.05 N</t>
  </si>
  <si>
    <t>089:06:40.02 W</t>
  </si>
  <si>
    <t>045:53:01.52 N</t>
  </si>
  <si>
    <t>089:06:35.61 W</t>
  </si>
  <si>
    <t>045:53:03.68 N</t>
  </si>
  <si>
    <t>089:06:31.67 W</t>
  </si>
  <si>
    <t>045:53:06.16 N</t>
  </si>
  <si>
    <t>089:06:27.27 W</t>
  </si>
  <si>
    <t>045:53:08.09 N</t>
  </si>
  <si>
    <t>089:06:23.87 W</t>
  </si>
  <si>
    <t>045:53:10.25 N</t>
  </si>
  <si>
    <t>089:06:20.01 W</t>
  </si>
  <si>
    <t>045:53:12.72 N</t>
  </si>
  <si>
    <t>089:06:15.84 W</t>
  </si>
  <si>
    <t>045:53:14.73 N</t>
  </si>
  <si>
    <t>089:06:11.90 W</t>
  </si>
  <si>
    <t>045:53:16.89 N</t>
  </si>
  <si>
    <t>089:06:08.19 W</t>
  </si>
  <si>
    <t>045:53:19.06 N</t>
  </si>
  <si>
    <t>089:06:04.48 W</t>
  </si>
  <si>
    <t>045:53:21.30 N</t>
  </si>
  <si>
    <t>089:06:00.47 W</t>
  </si>
  <si>
    <t>045:53:23.07 N</t>
  </si>
  <si>
    <t>089:05:57.07 W</t>
  </si>
  <si>
    <t>045:53:25.39 N</t>
  </si>
  <si>
    <t>089:05:53.21 W</t>
  </si>
  <si>
    <t>045:53:27.55 N</t>
  </si>
  <si>
    <t>089:05:49.57 W</t>
  </si>
  <si>
    <t>045:53:31.49 N</t>
  </si>
  <si>
    <t>089:05:42.39 W</t>
  </si>
  <si>
    <t>045:53:33.35 N</t>
  </si>
  <si>
    <t>089:05:39.30 W</t>
  </si>
  <si>
    <t>045:53:35.35 N</t>
  </si>
  <si>
    <t>089:05:35.59 W</t>
  </si>
  <si>
    <t>045:53:37.36 N</t>
  </si>
  <si>
    <t>089:05:32.12 W</t>
  </si>
  <si>
    <t>045:53:39.37 N</t>
  </si>
  <si>
    <t>089:05:28.64 W</t>
  </si>
  <si>
    <t>045:53:41.23 N</t>
  </si>
  <si>
    <t>089:05:25.16 W</t>
  </si>
  <si>
    <t>045:53:43.23 N</t>
  </si>
  <si>
    <t>089:05:22.00 W</t>
  </si>
  <si>
    <t>045:53:45.09 N</t>
  </si>
  <si>
    <t>089:05:18.52 W</t>
  </si>
  <si>
    <t>045:53:46.86 N</t>
  </si>
  <si>
    <t>089:05:15.59 W</t>
  </si>
  <si>
    <t>045:53:48.64 N</t>
  </si>
  <si>
    <t>089:05:12.19 W</t>
  </si>
  <si>
    <t>045:53:50.65 N</t>
  </si>
  <si>
    <t>089:05:08.87 W</t>
  </si>
  <si>
    <t>045:53:52.27 N</t>
  </si>
  <si>
    <t>089:05:05.93 W</t>
  </si>
  <si>
    <t>045:53:53.97 N</t>
  </si>
  <si>
    <t>089:05:03.07 W</t>
  </si>
  <si>
    <t>045:53:55.75 N</t>
  </si>
  <si>
    <t>089:04:59.67 W</t>
  </si>
  <si>
    <t>045:53:57.83 N</t>
  </si>
  <si>
    <t>089:04:56.27 W</t>
  </si>
  <si>
    <t>045:53:59.61 N</t>
  </si>
  <si>
    <t>089:04:53.03 W</t>
  </si>
  <si>
    <t>045:54:01.54 N</t>
  </si>
  <si>
    <t>089:04:49.55 W</t>
  </si>
  <si>
    <t>045:54:03.47 N</t>
  </si>
  <si>
    <t>089:04:46.15 W</t>
  </si>
  <si>
    <t>045:54:05.17 N</t>
  </si>
  <si>
    <t>089:04:43.14 W</t>
  </si>
  <si>
    <t>045:54:07.03 N</t>
  </si>
  <si>
    <t>089:04:39.97 W</t>
  </si>
  <si>
    <t>045:54:08.34 N</t>
  </si>
  <si>
    <t>089:04:37.73 W</t>
  </si>
  <si>
    <t>045:54:10.04 N</t>
  </si>
  <si>
    <t>089:04:34.49 W</t>
  </si>
  <si>
    <t>045:54:11.89 N</t>
  </si>
  <si>
    <t>089:04:31.25 W</t>
  </si>
  <si>
    <t>045:54:13.36 N</t>
  </si>
  <si>
    <t>089:04:28.62 W</t>
  </si>
  <si>
    <t>045:54:15.06 N</t>
  </si>
  <si>
    <t>089:04:25.92 W</t>
  </si>
  <si>
    <t>045:54:16.37 N</t>
  </si>
  <si>
    <t>089:04:23.37 W</t>
  </si>
  <si>
    <t>045:54:18.30 N</t>
  </si>
  <si>
    <t>089:04:20.12 W</t>
  </si>
  <si>
    <t>045:54:20.00 N</t>
  </si>
  <si>
    <t>089:04:17.26 W</t>
  </si>
  <si>
    <t>045:54:21.47 N</t>
  </si>
  <si>
    <t>089:04:14.33 W</t>
  </si>
  <si>
    <t>045:54:23.09 N</t>
  </si>
  <si>
    <t>089:04:11.70 W</t>
  </si>
  <si>
    <t>045:54:24.72 N</t>
  </si>
  <si>
    <t>089:04:08.77 W</t>
  </si>
  <si>
    <t>045:54:26.11 N</t>
  </si>
  <si>
    <t>089:04:06.37 W</t>
  </si>
  <si>
    <t>045:54:27.96 N</t>
  </si>
  <si>
    <t>089:04:03.13 W</t>
  </si>
  <si>
    <t>045:54:29.51 N</t>
  </si>
  <si>
    <t>089:04:00.42 W</t>
  </si>
  <si>
    <t>045:54:31.13 N</t>
  </si>
  <si>
    <t>089:03:57.72 W</t>
  </si>
  <si>
    <t>045:54:32.52 N</t>
  </si>
  <si>
    <t>089:03:55.33 W</t>
  </si>
  <si>
    <t>045:54:34.14 N</t>
  </si>
  <si>
    <t>089:03:52.24 W</t>
  </si>
  <si>
    <t>045:54:35.45 N</t>
  </si>
  <si>
    <t>089:03:50.00 W</t>
  </si>
  <si>
    <t>045:54:36.92 N</t>
  </si>
  <si>
    <t>089:03:47.37 W</t>
  </si>
  <si>
    <t>045:54:38.23 N</t>
  </si>
  <si>
    <t>089:03:44.67 W</t>
  </si>
  <si>
    <t>045:54:39.39 N</t>
  </si>
  <si>
    <t>089:03:42.73 W</t>
  </si>
  <si>
    <t>045:54:40.71 N</t>
  </si>
  <si>
    <t>089:03:40.42 W</t>
  </si>
  <si>
    <t>045:54:42.02 N</t>
  </si>
  <si>
    <t>089:03:38.18 W</t>
  </si>
  <si>
    <t>045:54:43.41 N</t>
  </si>
  <si>
    <t>089:03:35.78 W</t>
  </si>
  <si>
    <t>045:54:44.72 N</t>
  </si>
  <si>
    <t>089:03:33.46 W</t>
  </si>
  <si>
    <t>045:54:45.88 N</t>
  </si>
  <si>
    <t>089:03:31.15 W</t>
  </si>
  <si>
    <t>045:54:47.43 N</t>
  </si>
  <si>
    <t>089:03:28.52 W</t>
  </si>
  <si>
    <t>045:54:48.74 N</t>
  </si>
  <si>
    <t>089:03:26.28 W</t>
  </si>
  <si>
    <t>045:54:50.13 N</t>
  </si>
  <si>
    <t>089:03:23.42 W</t>
  </si>
  <si>
    <t>045:54:51.29 N</t>
  </si>
  <si>
    <t>089:03:21.34 W</t>
  </si>
  <si>
    <t>045:54:52.45 N</t>
  </si>
  <si>
    <t>089:03:19.33 W</t>
  </si>
  <si>
    <t>045:54:53.61 N</t>
  </si>
  <si>
    <t>089:03:17.17 W</t>
  </si>
  <si>
    <t>045:54:54.77 N</t>
  </si>
  <si>
    <t>089:03:14.92 W</t>
  </si>
  <si>
    <t>045:54:56.31 N</t>
  </si>
  <si>
    <t>089:03:12.22 W</t>
  </si>
  <si>
    <t>045:54:57.47 N</t>
  </si>
  <si>
    <t>089:03:09.98 W</t>
  </si>
  <si>
    <t>045:54:58.63 N</t>
  </si>
  <si>
    <t>089:03:07.74 W</t>
  </si>
  <si>
    <t>045:54:59.79 N</t>
  </si>
  <si>
    <t>089:03:05.50 W</t>
  </si>
  <si>
    <t>045:55:00.95 N</t>
  </si>
  <si>
    <t>089:03:03.34 W</t>
  </si>
  <si>
    <t>045:55:02.34 N</t>
  </si>
  <si>
    <t>089:03:00.56 W</t>
  </si>
  <si>
    <t>045:55:03.34 N</t>
  </si>
  <si>
    <t>089:02:58.63 W</t>
  </si>
  <si>
    <t>045:55:04.65 N</t>
  </si>
  <si>
    <t>089:02:56.39 W</t>
  </si>
  <si>
    <t>045:55:05.66 N</t>
  </si>
  <si>
    <t>089:02:54.30 W</t>
  </si>
  <si>
    <t>045:55:06.74 N</t>
  </si>
  <si>
    <t>089:02:52.14 W</t>
  </si>
  <si>
    <t>045:55:07.74 N</t>
  </si>
  <si>
    <t>089:02:50.21 W</t>
  </si>
  <si>
    <t>045:55:08.82 N</t>
  </si>
  <si>
    <t>089:02:48.20 W</t>
  </si>
  <si>
    <t>045:55:09.83 N</t>
  </si>
  <si>
    <t>089:02:46.03 W</t>
  </si>
  <si>
    <t>045:55:10.91 N</t>
  </si>
  <si>
    <t>089:02:44.18 W</t>
  </si>
  <si>
    <t>045:55:11.91 N</t>
  </si>
  <si>
    <t>089:02:41.94 W</t>
  </si>
  <si>
    <t>045:55:13.07 N</t>
  </si>
  <si>
    <t>089:02:39.78 W</t>
  </si>
  <si>
    <t>045:55:14.00 N</t>
  </si>
  <si>
    <t>089:02:37.61 W</t>
  </si>
  <si>
    <t>045:55:15.24 N</t>
  </si>
  <si>
    <t>089:02:35.37 W</t>
  </si>
  <si>
    <t>045:55:16.39 N</t>
  </si>
  <si>
    <t>089:02:33.13 W</t>
  </si>
  <si>
    <t>045:55:17.40 N</t>
  </si>
  <si>
    <t>089:02:31.20 W</t>
  </si>
  <si>
    <t>045:55:18.33 N</t>
  </si>
  <si>
    <t>089:02:29.19 W</t>
  </si>
  <si>
    <t>045:55:19.56 N</t>
  </si>
  <si>
    <t>089:02:26.95 W</t>
  </si>
  <si>
    <t>045:55:20.57 N</t>
  </si>
  <si>
    <t>089:02:24.71 W</t>
  </si>
  <si>
    <t>045:55:21.80 N</t>
  </si>
  <si>
    <t>089:02:22.71 W</t>
  </si>
  <si>
    <t>045:55:22.57 N</t>
  </si>
  <si>
    <t>089:02:21.01 W</t>
  </si>
  <si>
    <t>045:55:23.58 N</t>
  </si>
  <si>
    <t>089:02:18.84 W</t>
  </si>
  <si>
    <t>045:55:24.58 N</t>
  </si>
  <si>
    <t>089:02:16.91 W</t>
  </si>
  <si>
    <t>045:55:25.43 N</t>
  </si>
  <si>
    <t>089:02:14.98 W</t>
  </si>
  <si>
    <t>045:55:26.36 N</t>
  </si>
  <si>
    <t>089:02:13.05 W</t>
  </si>
  <si>
    <t>045:55:27.44 N</t>
  </si>
  <si>
    <t>089:02:10.89 W</t>
  </si>
  <si>
    <t>045:55:28.21 N</t>
  </si>
  <si>
    <t>089:02:09.19 W</t>
  </si>
  <si>
    <t>045:55:29.22 N</t>
  </si>
  <si>
    <t>089:02:07.49 W</t>
  </si>
  <si>
    <t>045:55:29.84 N</t>
  </si>
  <si>
    <t>089:02:05.79 W</t>
  </si>
  <si>
    <t>045:55:30.84 N</t>
  </si>
  <si>
    <t>089:02:04.09 W</t>
  </si>
  <si>
    <t>045:55:31.69 N</t>
  </si>
  <si>
    <t>089:02:02.16 W</t>
  </si>
  <si>
    <t>045:55:32.46 N</t>
  </si>
  <si>
    <t>089:02:00.23 W</t>
  </si>
  <si>
    <t>045:55:33.16 N</t>
  </si>
  <si>
    <t>089:01:58.60 W</t>
  </si>
  <si>
    <t>045:55:33.62 N</t>
  </si>
  <si>
    <t>089:01:56.67 W</t>
  </si>
  <si>
    <t>045:55:34.16 N</t>
  </si>
  <si>
    <t>089:01:53.58 W</t>
  </si>
  <si>
    <t>089:01:50.65 W</t>
  </si>
  <si>
    <t>045:55:33.93 N</t>
  </si>
  <si>
    <t>089:01:47.94 W</t>
  </si>
  <si>
    <t>089:01:45.09 W</t>
  </si>
  <si>
    <t>089:01:41.69 W</t>
  </si>
  <si>
    <t>045:55:33.00 N</t>
  </si>
  <si>
    <t>089:01:38.98 W</t>
  </si>
  <si>
    <t>089:01:36.82 W</t>
  </si>
  <si>
    <t>089:01:34.19 W</t>
  </si>
  <si>
    <t>045:55:32.31 N</t>
  </si>
  <si>
    <t>089:01:31.88 W</t>
  </si>
  <si>
    <t>045:55:31.46 N</t>
  </si>
  <si>
    <t>089:01:30.64 W</t>
  </si>
  <si>
    <t>089:01:29.87 W</t>
  </si>
  <si>
    <t>045:55:30.38 N</t>
  </si>
  <si>
    <t>089:01:29.17 W</t>
  </si>
  <si>
    <t>089:01:27.86 W</t>
  </si>
  <si>
    <t>045:55:29.14 N</t>
  </si>
  <si>
    <t>089:01:26.93 W</t>
  </si>
  <si>
    <t>045:55:28.99 N</t>
  </si>
  <si>
    <t>089:01:25.93 W</t>
  </si>
  <si>
    <t>045:55:29.45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</si>
</sst>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1256"/>
  <sheetViews>
    <sheetView tabSelected="1" workbookViewId="0"/>
  </sheetViews>
  <sheetFormatPr defaultRowHeight="14.4" x14ac:dyDescent="0.3"/>
  <sheetData>
    <row r="1" spans="1:113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</row>
    <row r="2" spans="1:113" x14ac:dyDescent="0.3">
      <c r="A2" t="str">
        <f>"09/28/2021 13:50:30.279"</f>
        <v>09/28/2021 13:50:30.279</v>
      </c>
      <c r="C2" t="str">
        <f t="shared" ref="C2:C10" si="0">"FFDFD3C0"</f>
        <v>FFDFD3C0</v>
      </c>
      <c r="D2" t="s">
        <v>113</v>
      </c>
      <c r="E2">
        <v>7</v>
      </c>
      <c r="H2">
        <v>170</v>
      </c>
      <c r="I2" t="s">
        <v>114</v>
      </c>
      <c r="J2" t="s">
        <v>115</v>
      </c>
      <c r="K2">
        <v>0</v>
      </c>
      <c r="L2">
        <v>3</v>
      </c>
      <c r="M2">
        <v>0</v>
      </c>
      <c r="N2">
        <v>2</v>
      </c>
      <c r="O2">
        <v>1</v>
      </c>
      <c r="P2">
        <v>0</v>
      </c>
      <c r="Q2">
        <v>0</v>
      </c>
      <c r="S2" t="str">
        <f>"13:50:29.789"</f>
        <v>13:50:29.789</v>
      </c>
      <c r="T2" t="str">
        <f>"13:50:29.289"</f>
        <v>13:50:29.289</v>
      </c>
      <c r="U2" t="str">
        <f t="shared" ref="U2:U65" si="1">"A92BC1"</f>
        <v>A92BC1</v>
      </c>
      <c r="V2">
        <v>0</v>
      </c>
      <c r="W2">
        <v>0</v>
      </c>
      <c r="X2">
        <v>2</v>
      </c>
      <c r="Z2">
        <v>0</v>
      </c>
      <c r="AA2">
        <v>9</v>
      </c>
      <c r="AB2">
        <v>3</v>
      </c>
      <c r="AC2">
        <v>0</v>
      </c>
      <c r="AD2">
        <v>10</v>
      </c>
      <c r="AE2">
        <v>0</v>
      </c>
      <c r="AF2">
        <v>0</v>
      </c>
      <c r="AG2">
        <v>2</v>
      </c>
      <c r="AH2">
        <v>0</v>
      </c>
      <c r="AI2" t="s">
        <v>116</v>
      </c>
      <c r="AJ2">
        <v>45.630577000000002</v>
      </c>
      <c r="AK2" t="s">
        <v>117</v>
      </c>
      <c r="AL2">
        <v>-89.475466999999995</v>
      </c>
      <c r="AM2">
        <v>100</v>
      </c>
      <c r="AN2">
        <v>1500</v>
      </c>
      <c r="AO2" t="s">
        <v>118</v>
      </c>
      <c r="AP2">
        <v>-130</v>
      </c>
      <c r="AQ2">
        <v>-4</v>
      </c>
      <c r="AR2">
        <v>704</v>
      </c>
      <c r="AZ2">
        <v>1200</v>
      </c>
      <c r="BA2">
        <v>0</v>
      </c>
      <c r="BB2" t="str">
        <f t="shared" ref="BB2:BB10" si="2">"N690LS  "</f>
        <v xml:space="preserve">N690LS  </v>
      </c>
      <c r="BC2">
        <v>1</v>
      </c>
      <c r="BE2">
        <v>0</v>
      </c>
      <c r="BF2">
        <v>0</v>
      </c>
      <c r="BG2">
        <v>0</v>
      </c>
      <c r="BH2">
        <v>1550</v>
      </c>
      <c r="BI2">
        <v>1</v>
      </c>
      <c r="BJ2">
        <v>1</v>
      </c>
      <c r="BK2">
        <v>1</v>
      </c>
      <c r="BL2">
        <v>0</v>
      </c>
      <c r="BO2">
        <v>0</v>
      </c>
      <c r="BP2">
        <v>0</v>
      </c>
      <c r="BW2" t="str">
        <f>"13:50:29.790"</f>
        <v>13:50:29.790</v>
      </c>
      <c r="CJ2">
        <v>0</v>
      </c>
      <c r="CK2">
        <v>0</v>
      </c>
      <c r="CL2">
        <v>0</v>
      </c>
      <c r="CM2">
        <v>2</v>
      </c>
      <c r="CN2">
        <v>0</v>
      </c>
      <c r="CO2">
        <v>4</v>
      </c>
      <c r="CP2" t="s">
        <v>119</v>
      </c>
      <c r="CQ2">
        <v>197</v>
      </c>
      <c r="CR2">
        <v>2</v>
      </c>
      <c r="CW2">
        <v>2087737</v>
      </c>
      <c r="CY2">
        <v>0</v>
      </c>
      <c r="CZ2">
        <v>0</v>
      </c>
      <c r="DA2">
        <v>0</v>
      </c>
      <c r="DB2">
        <v>0</v>
      </c>
      <c r="DC2">
        <v>0</v>
      </c>
      <c r="DD2">
        <v>0</v>
      </c>
      <c r="DE2">
        <v>0</v>
      </c>
      <c r="DF2">
        <v>0</v>
      </c>
      <c r="DG2">
        <v>0</v>
      </c>
      <c r="DH2">
        <v>0</v>
      </c>
      <c r="DI2">
        <v>1</v>
      </c>
    </row>
    <row r="3" spans="1:113" x14ac:dyDescent="0.3">
      <c r="A3" t="str">
        <f>"09/28/2021 13:50:31.029"</f>
        <v>09/28/2021 13:50:31.029</v>
      </c>
      <c r="C3" t="str">
        <f t="shared" si="0"/>
        <v>FFDFD3C0</v>
      </c>
      <c r="D3" t="s">
        <v>120</v>
      </c>
      <c r="E3">
        <v>12</v>
      </c>
      <c r="F3">
        <v>1012</v>
      </c>
      <c r="G3" t="s">
        <v>114</v>
      </c>
      <c r="J3" t="s">
        <v>121</v>
      </c>
      <c r="K3">
        <v>0</v>
      </c>
      <c r="L3">
        <v>3</v>
      </c>
      <c r="M3">
        <v>0</v>
      </c>
      <c r="N3">
        <v>2</v>
      </c>
      <c r="O3">
        <v>1</v>
      </c>
      <c r="P3">
        <v>0</v>
      </c>
      <c r="Q3">
        <v>0</v>
      </c>
      <c r="S3" t="str">
        <f>"13:50:30.844"</f>
        <v>13:50:30.844</v>
      </c>
      <c r="T3" t="str">
        <f>"13:50:30.344"</f>
        <v>13:50:30.344</v>
      </c>
      <c r="U3" t="str">
        <f t="shared" si="1"/>
        <v>A92BC1</v>
      </c>
      <c r="V3">
        <v>0</v>
      </c>
      <c r="W3">
        <v>0</v>
      </c>
      <c r="X3">
        <v>2</v>
      </c>
      <c r="Z3">
        <v>0</v>
      </c>
      <c r="AA3">
        <v>9</v>
      </c>
      <c r="AB3">
        <v>3</v>
      </c>
      <c r="AC3">
        <v>0</v>
      </c>
      <c r="AD3">
        <v>10</v>
      </c>
      <c r="AE3">
        <v>0</v>
      </c>
      <c r="AF3">
        <v>0</v>
      </c>
      <c r="AG3">
        <v>2</v>
      </c>
      <c r="AH3">
        <v>0</v>
      </c>
      <c r="AI3" t="s">
        <v>122</v>
      </c>
      <c r="AJ3">
        <v>45.630512000000003</v>
      </c>
      <c r="AK3" t="s">
        <v>123</v>
      </c>
      <c r="AL3">
        <v>-89.476367999999994</v>
      </c>
      <c r="AM3">
        <v>100</v>
      </c>
      <c r="AN3">
        <v>1600</v>
      </c>
      <c r="AO3" t="s">
        <v>118</v>
      </c>
      <c r="AP3">
        <v>-131</v>
      </c>
      <c r="AQ3">
        <v>-5</v>
      </c>
      <c r="AR3">
        <v>960</v>
      </c>
      <c r="AZ3">
        <v>1200</v>
      </c>
      <c r="BA3">
        <v>1</v>
      </c>
      <c r="BB3" t="str">
        <f t="shared" si="2"/>
        <v xml:space="preserve">N690LS  </v>
      </c>
      <c r="BC3">
        <v>1</v>
      </c>
      <c r="BE3">
        <v>0</v>
      </c>
      <c r="BF3">
        <v>0</v>
      </c>
      <c r="BG3">
        <v>0</v>
      </c>
      <c r="BH3">
        <v>1575</v>
      </c>
      <c r="BI3">
        <v>1</v>
      </c>
      <c r="BJ3">
        <v>1</v>
      </c>
      <c r="BK3">
        <v>1</v>
      </c>
      <c r="BL3">
        <v>0</v>
      </c>
      <c r="BO3">
        <v>0</v>
      </c>
      <c r="BP3">
        <v>0</v>
      </c>
      <c r="BW3" t="str">
        <f>"13:50:30.844"</f>
        <v>13:50:30.844</v>
      </c>
      <c r="CJ3">
        <v>0</v>
      </c>
      <c r="CK3">
        <v>2</v>
      </c>
      <c r="CL3">
        <v>0</v>
      </c>
      <c r="CM3">
        <v>2</v>
      </c>
      <c r="CN3">
        <v>0</v>
      </c>
      <c r="CO3">
        <v>5</v>
      </c>
      <c r="CP3" t="s">
        <v>119</v>
      </c>
      <c r="CQ3">
        <v>197</v>
      </c>
      <c r="CR3">
        <v>2</v>
      </c>
      <c r="CW3">
        <v>2088659</v>
      </c>
      <c r="CY3">
        <v>0</v>
      </c>
      <c r="CZ3">
        <v>0</v>
      </c>
      <c r="DA3">
        <v>0</v>
      </c>
      <c r="DB3">
        <v>0</v>
      </c>
      <c r="DC3">
        <v>0</v>
      </c>
      <c r="DD3">
        <v>0</v>
      </c>
      <c r="DE3">
        <v>0</v>
      </c>
      <c r="DF3">
        <v>0</v>
      </c>
      <c r="DG3">
        <v>0</v>
      </c>
      <c r="DH3">
        <v>0</v>
      </c>
      <c r="DI3">
        <v>0</v>
      </c>
    </row>
    <row r="4" spans="1:113" x14ac:dyDescent="0.3">
      <c r="A4" t="str">
        <f>"09/28/2021 13:50:31.029"</f>
        <v>09/28/2021 13:50:31.029</v>
      </c>
      <c r="C4" t="str">
        <f t="shared" si="0"/>
        <v>FFDFD3C0</v>
      </c>
      <c r="D4" t="s">
        <v>113</v>
      </c>
      <c r="E4">
        <v>7</v>
      </c>
      <c r="H4">
        <v>170</v>
      </c>
      <c r="I4" t="s">
        <v>114</v>
      </c>
      <c r="J4" t="s">
        <v>115</v>
      </c>
      <c r="K4">
        <v>0</v>
      </c>
      <c r="L4">
        <v>3</v>
      </c>
      <c r="M4">
        <v>0</v>
      </c>
      <c r="N4">
        <v>2</v>
      </c>
      <c r="O4">
        <v>1</v>
      </c>
      <c r="P4">
        <v>0</v>
      </c>
      <c r="Q4">
        <v>0</v>
      </c>
      <c r="S4" t="str">
        <f>"13:50:30.844"</f>
        <v>13:50:30.844</v>
      </c>
      <c r="T4" t="str">
        <f>"13:50:30.344"</f>
        <v>13:50:30.344</v>
      </c>
      <c r="U4" t="str">
        <f t="shared" si="1"/>
        <v>A92BC1</v>
      </c>
      <c r="V4">
        <v>0</v>
      </c>
      <c r="W4">
        <v>0</v>
      </c>
      <c r="X4">
        <v>2</v>
      </c>
      <c r="Z4">
        <v>0</v>
      </c>
      <c r="AA4">
        <v>9</v>
      </c>
      <c r="AB4">
        <v>3</v>
      </c>
      <c r="AC4">
        <v>0</v>
      </c>
      <c r="AD4">
        <v>10</v>
      </c>
      <c r="AE4">
        <v>0</v>
      </c>
      <c r="AF4">
        <v>0</v>
      </c>
      <c r="AG4">
        <v>2</v>
      </c>
      <c r="AH4">
        <v>0</v>
      </c>
      <c r="AI4" t="s">
        <v>122</v>
      </c>
      <c r="AJ4">
        <v>45.630512000000003</v>
      </c>
      <c r="AK4" t="s">
        <v>123</v>
      </c>
      <c r="AL4">
        <v>-89.476367999999994</v>
      </c>
      <c r="AM4">
        <v>100</v>
      </c>
      <c r="AN4">
        <v>1600</v>
      </c>
      <c r="AO4" t="s">
        <v>118</v>
      </c>
      <c r="AP4">
        <v>-131</v>
      </c>
      <c r="AQ4">
        <v>-5</v>
      </c>
      <c r="AR4">
        <v>960</v>
      </c>
      <c r="AZ4">
        <v>1200</v>
      </c>
      <c r="BA4">
        <v>1</v>
      </c>
      <c r="BB4" t="str">
        <f t="shared" si="2"/>
        <v xml:space="preserve">N690LS  </v>
      </c>
      <c r="BC4">
        <v>1</v>
      </c>
      <c r="BE4">
        <v>0</v>
      </c>
      <c r="BF4">
        <v>0</v>
      </c>
      <c r="BG4">
        <v>0</v>
      </c>
      <c r="BH4">
        <v>1575</v>
      </c>
      <c r="BI4">
        <v>1</v>
      </c>
      <c r="BJ4">
        <v>1</v>
      </c>
      <c r="BK4">
        <v>1</v>
      </c>
      <c r="BL4">
        <v>0</v>
      </c>
      <c r="BO4">
        <v>0</v>
      </c>
      <c r="BP4">
        <v>0</v>
      </c>
      <c r="BW4" t="str">
        <f>"13:50:30.844"</f>
        <v>13:50:30.844</v>
      </c>
      <c r="CJ4">
        <v>0</v>
      </c>
      <c r="CK4">
        <v>2</v>
      </c>
      <c r="CL4">
        <v>0</v>
      </c>
      <c r="CM4">
        <v>2</v>
      </c>
      <c r="CN4">
        <v>0</v>
      </c>
      <c r="CO4">
        <v>5</v>
      </c>
      <c r="CP4" t="s">
        <v>119</v>
      </c>
      <c r="CQ4">
        <v>197</v>
      </c>
      <c r="CR4">
        <v>2</v>
      </c>
      <c r="CW4">
        <v>2088659</v>
      </c>
      <c r="CY4">
        <v>0</v>
      </c>
      <c r="CZ4">
        <v>0</v>
      </c>
      <c r="DA4">
        <v>1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</row>
    <row r="5" spans="1:113" x14ac:dyDescent="0.3">
      <c r="A5" t="str">
        <f>"09/28/2021 13:50:32.040"</f>
        <v>09/28/2021 13:50:32.040</v>
      </c>
      <c r="C5" t="str">
        <f t="shared" si="0"/>
        <v>FFDFD3C0</v>
      </c>
      <c r="D5" t="s">
        <v>120</v>
      </c>
      <c r="E5">
        <v>12</v>
      </c>
      <c r="F5">
        <v>1012</v>
      </c>
      <c r="G5" t="s">
        <v>114</v>
      </c>
      <c r="J5" t="s">
        <v>121</v>
      </c>
      <c r="K5">
        <v>0</v>
      </c>
      <c r="L5">
        <v>3</v>
      </c>
      <c r="M5">
        <v>0</v>
      </c>
      <c r="N5">
        <v>2</v>
      </c>
      <c r="O5">
        <v>1</v>
      </c>
      <c r="P5">
        <v>0</v>
      </c>
      <c r="Q5">
        <v>0</v>
      </c>
      <c r="S5" t="str">
        <f>"13:50:31.828"</f>
        <v>13:50:31.828</v>
      </c>
      <c r="T5" t="str">
        <f>"13:50:31.428"</f>
        <v>13:50:31.428</v>
      </c>
      <c r="U5" t="str">
        <f t="shared" si="1"/>
        <v>A92BC1</v>
      </c>
      <c r="V5">
        <v>0</v>
      </c>
      <c r="W5">
        <v>0</v>
      </c>
      <c r="X5">
        <v>2</v>
      </c>
      <c r="Z5">
        <v>0</v>
      </c>
      <c r="AA5">
        <v>9</v>
      </c>
      <c r="AB5">
        <v>3</v>
      </c>
      <c r="AC5">
        <v>0</v>
      </c>
      <c r="AD5">
        <v>10</v>
      </c>
      <c r="AE5">
        <v>0</v>
      </c>
      <c r="AF5">
        <v>0</v>
      </c>
      <c r="AG5">
        <v>2</v>
      </c>
      <c r="AH5">
        <v>0</v>
      </c>
      <c r="AI5" t="s">
        <v>122</v>
      </c>
      <c r="AJ5">
        <v>45.630512000000003</v>
      </c>
      <c r="AK5" t="s">
        <v>124</v>
      </c>
      <c r="AL5">
        <v>-89.477248000000003</v>
      </c>
      <c r="AM5">
        <v>100</v>
      </c>
      <c r="AN5">
        <v>1600</v>
      </c>
      <c r="AO5" t="s">
        <v>118</v>
      </c>
      <c r="AP5">
        <v>-132</v>
      </c>
      <c r="AQ5">
        <v>-6</v>
      </c>
      <c r="AR5">
        <v>1216</v>
      </c>
      <c r="AZ5">
        <v>1200</v>
      </c>
      <c r="BA5">
        <v>1</v>
      </c>
      <c r="BB5" t="str">
        <f t="shared" si="2"/>
        <v xml:space="preserve">N690LS  </v>
      </c>
      <c r="BC5">
        <v>1</v>
      </c>
      <c r="BE5">
        <v>0</v>
      </c>
      <c r="BF5">
        <v>0</v>
      </c>
      <c r="BG5">
        <v>0</v>
      </c>
      <c r="BH5">
        <v>1575</v>
      </c>
      <c r="BI5">
        <v>1</v>
      </c>
      <c r="BJ5">
        <v>1</v>
      </c>
      <c r="BK5">
        <v>1</v>
      </c>
      <c r="BL5">
        <v>0</v>
      </c>
      <c r="BO5">
        <v>0</v>
      </c>
      <c r="BP5">
        <v>0</v>
      </c>
      <c r="BW5" t="str">
        <f>"13:50:31.835"</f>
        <v>13:50:31.835</v>
      </c>
      <c r="CJ5">
        <v>0</v>
      </c>
      <c r="CK5">
        <v>2</v>
      </c>
      <c r="CL5">
        <v>0</v>
      </c>
      <c r="CM5">
        <v>2</v>
      </c>
      <c r="CN5">
        <v>0</v>
      </c>
      <c r="CO5">
        <v>6</v>
      </c>
      <c r="CP5" t="s">
        <v>119</v>
      </c>
      <c r="CQ5">
        <v>197</v>
      </c>
      <c r="CR5">
        <v>2</v>
      </c>
      <c r="CW5">
        <v>2089592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>
        <v>0</v>
      </c>
    </row>
    <row r="6" spans="1:113" x14ac:dyDescent="0.3">
      <c r="A6" t="str">
        <f>"09/28/2021 13:50:32.040"</f>
        <v>09/28/2021 13:50:32.040</v>
      </c>
      <c r="C6" t="str">
        <f t="shared" si="0"/>
        <v>FFDFD3C0</v>
      </c>
      <c r="D6" t="s">
        <v>113</v>
      </c>
      <c r="E6">
        <v>7</v>
      </c>
      <c r="H6">
        <v>170</v>
      </c>
      <c r="I6" t="s">
        <v>114</v>
      </c>
      <c r="J6" t="s">
        <v>115</v>
      </c>
      <c r="K6">
        <v>0</v>
      </c>
      <c r="L6">
        <v>3</v>
      </c>
      <c r="M6">
        <v>0</v>
      </c>
      <c r="N6">
        <v>2</v>
      </c>
      <c r="O6">
        <v>1</v>
      </c>
      <c r="P6">
        <v>0</v>
      </c>
      <c r="Q6">
        <v>0</v>
      </c>
      <c r="S6" t="str">
        <f>"13:50:31.828"</f>
        <v>13:50:31.828</v>
      </c>
      <c r="T6" t="str">
        <f>"13:50:31.428"</f>
        <v>13:50:31.428</v>
      </c>
      <c r="U6" t="str">
        <f t="shared" si="1"/>
        <v>A92BC1</v>
      </c>
      <c r="V6">
        <v>0</v>
      </c>
      <c r="W6">
        <v>0</v>
      </c>
      <c r="X6">
        <v>2</v>
      </c>
      <c r="Z6">
        <v>0</v>
      </c>
      <c r="AA6">
        <v>9</v>
      </c>
      <c r="AB6">
        <v>3</v>
      </c>
      <c r="AC6">
        <v>0</v>
      </c>
      <c r="AD6">
        <v>10</v>
      </c>
      <c r="AE6">
        <v>0</v>
      </c>
      <c r="AF6">
        <v>0</v>
      </c>
      <c r="AG6">
        <v>2</v>
      </c>
      <c r="AH6">
        <v>0</v>
      </c>
      <c r="AI6" t="s">
        <v>122</v>
      </c>
      <c r="AJ6">
        <v>45.630512000000003</v>
      </c>
      <c r="AK6" t="s">
        <v>124</v>
      </c>
      <c r="AL6">
        <v>-89.477248000000003</v>
      </c>
      <c r="AM6">
        <v>100</v>
      </c>
      <c r="AN6">
        <v>1600</v>
      </c>
      <c r="AO6" t="s">
        <v>118</v>
      </c>
      <c r="AP6">
        <v>-132</v>
      </c>
      <c r="AQ6">
        <v>-6</v>
      </c>
      <c r="AR6">
        <v>1216</v>
      </c>
      <c r="AZ6">
        <v>1200</v>
      </c>
      <c r="BA6">
        <v>1</v>
      </c>
      <c r="BB6" t="str">
        <f t="shared" si="2"/>
        <v xml:space="preserve">N690LS  </v>
      </c>
      <c r="BC6">
        <v>1</v>
      </c>
      <c r="BE6">
        <v>0</v>
      </c>
      <c r="BF6">
        <v>0</v>
      </c>
      <c r="BG6">
        <v>0</v>
      </c>
      <c r="BH6">
        <v>1575</v>
      </c>
      <c r="BI6">
        <v>1</v>
      </c>
      <c r="BJ6">
        <v>1</v>
      </c>
      <c r="BK6">
        <v>1</v>
      </c>
      <c r="BL6">
        <v>0</v>
      </c>
      <c r="BO6">
        <v>0</v>
      </c>
      <c r="BP6">
        <v>0</v>
      </c>
      <c r="BW6" t="str">
        <f>"13:50:31.835"</f>
        <v>13:50:31.835</v>
      </c>
      <c r="CJ6">
        <v>0</v>
      </c>
      <c r="CK6">
        <v>2</v>
      </c>
      <c r="CL6">
        <v>0</v>
      </c>
      <c r="CM6">
        <v>2</v>
      </c>
      <c r="CN6">
        <v>0</v>
      </c>
      <c r="CO6">
        <v>6</v>
      </c>
      <c r="CP6" t="s">
        <v>119</v>
      </c>
      <c r="CQ6">
        <v>197</v>
      </c>
      <c r="CR6">
        <v>2</v>
      </c>
      <c r="CW6">
        <v>2089592</v>
      </c>
      <c r="CY6">
        <v>0</v>
      </c>
      <c r="CZ6">
        <v>0</v>
      </c>
      <c r="DA6">
        <v>1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  <c r="DI6">
        <v>0</v>
      </c>
    </row>
    <row r="7" spans="1:113" x14ac:dyDescent="0.3">
      <c r="A7" t="str">
        <f>"09/28/2021 13:50:33.182"</f>
        <v>09/28/2021 13:50:33.182</v>
      </c>
      <c r="C7" t="str">
        <f t="shared" si="0"/>
        <v>FFDFD3C0</v>
      </c>
      <c r="D7" t="s">
        <v>120</v>
      </c>
      <c r="E7">
        <v>12</v>
      </c>
      <c r="F7">
        <v>1012</v>
      </c>
      <c r="G7" t="s">
        <v>114</v>
      </c>
      <c r="J7" t="s">
        <v>121</v>
      </c>
      <c r="K7">
        <v>0</v>
      </c>
      <c r="L7">
        <v>3</v>
      </c>
      <c r="M7">
        <v>0</v>
      </c>
      <c r="N7">
        <v>2</v>
      </c>
      <c r="O7">
        <v>1</v>
      </c>
      <c r="P7">
        <v>0</v>
      </c>
      <c r="Q7">
        <v>0</v>
      </c>
      <c r="S7" t="str">
        <f>"13:50:32.945"</f>
        <v>13:50:32.945</v>
      </c>
      <c r="T7" t="str">
        <f>"13:50:32.445"</f>
        <v>13:50:32.445</v>
      </c>
      <c r="U7" t="str">
        <f t="shared" si="1"/>
        <v>A92BC1</v>
      </c>
      <c r="V7">
        <v>0</v>
      </c>
      <c r="W7">
        <v>0</v>
      </c>
      <c r="X7">
        <v>2</v>
      </c>
      <c r="Z7">
        <v>0</v>
      </c>
      <c r="AA7">
        <v>9</v>
      </c>
      <c r="AB7">
        <v>3</v>
      </c>
      <c r="AC7">
        <v>0</v>
      </c>
      <c r="AD7">
        <v>10</v>
      </c>
      <c r="AE7">
        <v>0</v>
      </c>
      <c r="AF7">
        <v>0</v>
      </c>
      <c r="AG7">
        <v>2</v>
      </c>
      <c r="AH7">
        <v>0</v>
      </c>
      <c r="AI7" t="s">
        <v>125</v>
      </c>
      <c r="AJ7">
        <v>45.630468999999998</v>
      </c>
      <c r="AK7" t="s">
        <v>126</v>
      </c>
      <c r="AL7">
        <v>-89.478213999999994</v>
      </c>
      <c r="AM7">
        <v>100</v>
      </c>
      <c r="AN7">
        <v>1600</v>
      </c>
      <c r="AO7" t="s">
        <v>118</v>
      </c>
      <c r="AP7">
        <v>-133</v>
      </c>
      <c r="AQ7">
        <v>-6</v>
      </c>
      <c r="AR7">
        <v>1408</v>
      </c>
      <c r="AZ7">
        <v>1200</v>
      </c>
      <c r="BA7">
        <v>1</v>
      </c>
      <c r="BB7" t="str">
        <f t="shared" si="2"/>
        <v xml:space="preserve">N690LS  </v>
      </c>
      <c r="BC7">
        <v>1</v>
      </c>
      <c r="BE7">
        <v>0</v>
      </c>
      <c r="BF7">
        <v>0</v>
      </c>
      <c r="BG7">
        <v>0</v>
      </c>
      <c r="BH7">
        <v>1600</v>
      </c>
      <c r="BI7">
        <v>1</v>
      </c>
      <c r="BJ7">
        <v>1</v>
      </c>
      <c r="BK7">
        <v>1</v>
      </c>
      <c r="BL7">
        <v>0</v>
      </c>
      <c r="BO7">
        <v>0</v>
      </c>
      <c r="BP7">
        <v>0</v>
      </c>
      <c r="BW7" t="str">
        <f>"13:50:32.946"</f>
        <v>13:50:32.946</v>
      </c>
      <c r="CJ7">
        <v>0</v>
      </c>
      <c r="CK7">
        <v>2</v>
      </c>
      <c r="CL7">
        <v>0</v>
      </c>
      <c r="CM7">
        <v>2</v>
      </c>
      <c r="CN7">
        <v>0</v>
      </c>
      <c r="CO7">
        <v>7</v>
      </c>
      <c r="CP7" t="s">
        <v>119</v>
      </c>
      <c r="CQ7">
        <v>197</v>
      </c>
      <c r="CR7">
        <v>2</v>
      </c>
      <c r="CW7">
        <v>2090677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</row>
    <row r="8" spans="1:113" x14ac:dyDescent="0.3">
      <c r="A8" t="str">
        <f>"09/28/2021 13:50:33.182"</f>
        <v>09/28/2021 13:50:33.182</v>
      </c>
      <c r="C8" t="str">
        <f t="shared" si="0"/>
        <v>FFDFD3C0</v>
      </c>
      <c r="D8" t="s">
        <v>113</v>
      </c>
      <c r="E8">
        <v>7</v>
      </c>
      <c r="H8">
        <v>170</v>
      </c>
      <c r="I8" t="s">
        <v>114</v>
      </c>
      <c r="J8" t="s">
        <v>115</v>
      </c>
      <c r="K8">
        <v>0</v>
      </c>
      <c r="L8">
        <v>3</v>
      </c>
      <c r="M8">
        <v>0</v>
      </c>
      <c r="N8">
        <v>2</v>
      </c>
      <c r="O8">
        <v>1</v>
      </c>
      <c r="P8">
        <v>0</v>
      </c>
      <c r="Q8">
        <v>0</v>
      </c>
      <c r="S8" t="str">
        <f>"13:50:32.945"</f>
        <v>13:50:32.945</v>
      </c>
      <c r="T8" t="str">
        <f>"13:50:32.445"</f>
        <v>13:50:32.445</v>
      </c>
      <c r="U8" t="str">
        <f t="shared" si="1"/>
        <v>A92BC1</v>
      </c>
      <c r="V8">
        <v>0</v>
      </c>
      <c r="W8">
        <v>0</v>
      </c>
      <c r="X8">
        <v>2</v>
      </c>
      <c r="Z8">
        <v>0</v>
      </c>
      <c r="AA8">
        <v>9</v>
      </c>
      <c r="AB8">
        <v>3</v>
      </c>
      <c r="AC8">
        <v>0</v>
      </c>
      <c r="AD8">
        <v>10</v>
      </c>
      <c r="AE8">
        <v>0</v>
      </c>
      <c r="AF8">
        <v>0</v>
      </c>
      <c r="AG8">
        <v>2</v>
      </c>
      <c r="AH8">
        <v>0</v>
      </c>
      <c r="AI8" t="s">
        <v>125</v>
      </c>
      <c r="AJ8">
        <v>45.630468999999998</v>
      </c>
      <c r="AK8" t="s">
        <v>126</v>
      </c>
      <c r="AL8">
        <v>-89.478213999999994</v>
      </c>
      <c r="AM8">
        <v>100</v>
      </c>
      <c r="AN8">
        <v>1600</v>
      </c>
      <c r="AO8" t="s">
        <v>118</v>
      </c>
      <c r="AP8">
        <v>-133</v>
      </c>
      <c r="AQ8">
        <v>-6</v>
      </c>
      <c r="AR8">
        <v>1408</v>
      </c>
      <c r="AZ8">
        <v>1200</v>
      </c>
      <c r="BA8">
        <v>1</v>
      </c>
      <c r="BB8" t="str">
        <f t="shared" si="2"/>
        <v xml:space="preserve">N690LS  </v>
      </c>
      <c r="BC8">
        <v>1</v>
      </c>
      <c r="BE8">
        <v>0</v>
      </c>
      <c r="BF8">
        <v>0</v>
      </c>
      <c r="BG8">
        <v>0</v>
      </c>
      <c r="BH8">
        <v>1600</v>
      </c>
      <c r="BI8">
        <v>1</v>
      </c>
      <c r="BJ8">
        <v>1</v>
      </c>
      <c r="BK8">
        <v>1</v>
      </c>
      <c r="BL8">
        <v>0</v>
      </c>
      <c r="BO8">
        <v>0</v>
      </c>
      <c r="BP8">
        <v>0</v>
      </c>
      <c r="BW8" t="str">
        <f>"13:50:32.946"</f>
        <v>13:50:32.946</v>
      </c>
      <c r="CJ8">
        <v>0</v>
      </c>
      <c r="CK8">
        <v>2</v>
      </c>
      <c r="CL8">
        <v>0</v>
      </c>
      <c r="CM8">
        <v>2</v>
      </c>
      <c r="CN8">
        <v>0</v>
      </c>
      <c r="CO8">
        <v>7</v>
      </c>
      <c r="CP8" t="s">
        <v>119</v>
      </c>
      <c r="CQ8">
        <v>197</v>
      </c>
      <c r="CR8">
        <v>2</v>
      </c>
      <c r="CW8">
        <v>2090677</v>
      </c>
      <c r="CY8">
        <v>0</v>
      </c>
      <c r="CZ8">
        <v>0</v>
      </c>
      <c r="DA8">
        <v>1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  <c r="DI8">
        <v>0</v>
      </c>
    </row>
    <row r="9" spans="1:113" x14ac:dyDescent="0.3">
      <c r="A9" t="str">
        <f>"09/28/2021 13:50:34.025"</f>
        <v>09/28/2021 13:50:34.025</v>
      </c>
      <c r="C9" t="str">
        <f t="shared" si="0"/>
        <v>FFDFD3C0</v>
      </c>
      <c r="D9" t="s">
        <v>120</v>
      </c>
      <c r="E9">
        <v>12</v>
      </c>
      <c r="F9">
        <v>1012</v>
      </c>
      <c r="G9" t="s">
        <v>114</v>
      </c>
      <c r="J9" t="s">
        <v>121</v>
      </c>
      <c r="K9">
        <v>0</v>
      </c>
      <c r="L9">
        <v>3</v>
      </c>
      <c r="M9">
        <v>0</v>
      </c>
      <c r="N9">
        <v>2</v>
      </c>
      <c r="O9">
        <v>1</v>
      </c>
      <c r="P9">
        <v>0</v>
      </c>
      <c r="Q9">
        <v>0</v>
      </c>
      <c r="S9" t="str">
        <f>"13:50:33.773"</f>
        <v>13:50:33.773</v>
      </c>
      <c r="T9" t="str">
        <f>"13:50:33.373"</f>
        <v>13:50:33.373</v>
      </c>
      <c r="U9" t="str">
        <f t="shared" si="1"/>
        <v>A92BC1</v>
      </c>
      <c r="V9">
        <v>0</v>
      </c>
      <c r="W9">
        <v>0</v>
      </c>
      <c r="X9">
        <v>2</v>
      </c>
      <c r="Z9">
        <v>0</v>
      </c>
      <c r="AA9">
        <v>9</v>
      </c>
      <c r="AB9">
        <v>3</v>
      </c>
      <c r="AC9">
        <v>0</v>
      </c>
      <c r="AD9">
        <v>10</v>
      </c>
      <c r="AE9">
        <v>0</v>
      </c>
      <c r="AF9">
        <v>0</v>
      </c>
      <c r="AG9">
        <v>2</v>
      </c>
      <c r="AH9">
        <v>0</v>
      </c>
      <c r="AI9" t="s">
        <v>127</v>
      </c>
      <c r="AJ9">
        <v>45.630426</v>
      </c>
      <c r="AK9" t="s">
        <v>128</v>
      </c>
      <c r="AL9">
        <v>-89.478943000000001</v>
      </c>
      <c r="AM9">
        <v>100</v>
      </c>
      <c r="AN9">
        <v>1600</v>
      </c>
      <c r="AO9" t="s">
        <v>118</v>
      </c>
      <c r="AP9">
        <v>-135</v>
      </c>
      <c r="AQ9">
        <v>-6</v>
      </c>
      <c r="AR9">
        <v>1472</v>
      </c>
      <c r="AZ9">
        <v>1200</v>
      </c>
      <c r="BA9">
        <v>1</v>
      </c>
      <c r="BB9" t="str">
        <f t="shared" si="2"/>
        <v xml:space="preserve">N690LS  </v>
      </c>
      <c r="BC9">
        <v>1</v>
      </c>
      <c r="BE9">
        <v>0</v>
      </c>
      <c r="BF9">
        <v>0</v>
      </c>
      <c r="BG9">
        <v>0</v>
      </c>
      <c r="BH9">
        <v>1625</v>
      </c>
      <c r="BI9">
        <v>1</v>
      </c>
      <c r="BJ9">
        <v>1</v>
      </c>
      <c r="BK9">
        <v>1</v>
      </c>
      <c r="BL9">
        <v>0</v>
      </c>
      <c r="BO9">
        <v>0</v>
      </c>
      <c r="BP9">
        <v>0</v>
      </c>
      <c r="BW9" t="str">
        <f>"13:50:33.778"</f>
        <v>13:50:33.778</v>
      </c>
      <c r="CJ9">
        <v>0</v>
      </c>
      <c r="CK9">
        <v>2</v>
      </c>
      <c r="CL9">
        <v>0</v>
      </c>
      <c r="CM9">
        <v>2</v>
      </c>
      <c r="CN9">
        <v>0</v>
      </c>
      <c r="CO9">
        <v>7</v>
      </c>
      <c r="CP9" t="s">
        <v>119</v>
      </c>
      <c r="CQ9">
        <v>197</v>
      </c>
      <c r="CR9">
        <v>1</v>
      </c>
      <c r="CW9">
        <v>6959827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</row>
    <row r="10" spans="1:113" x14ac:dyDescent="0.3">
      <c r="A10" t="str">
        <f>"09/28/2021 13:50:34.025"</f>
        <v>09/28/2021 13:50:34.025</v>
      </c>
      <c r="C10" t="str">
        <f t="shared" si="0"/>
        <v>FFDFD3C0</v>
      </c>
      <c r="D10" t="s">
        <v>113</v>
      </c>
      <c r="E10">
        <v>7</v>
      </c>
      <c r="H10">
        <v>170</v>
      </c>
      <c r="I10" t="s">
        <v>114</v>
      </c>
      <c r="J10" t="s">
        <v>115</v>
      </c>
      <c r="K10">
        <v>0</v>
      </c>
      <c r="L10">
        <v>3</v>
      </c>
      <c r="M10">
        <v>0</v>
      </c>
      <c r="N10">
        <v>2</v>
      </c>
      <c r="O10">
        <v>1</v>
      </c>
      <c r="P10">
        <v>0</v>
      </c>
      <c r="Q10">
        <v>0</v>
      </c>
      <c r="S10" t="str">
        <f>"13:50:33.773"</f>
        <v>13:50:33.773</v>
      </c>
      <c r="T10" t="str">
        <f>"13:50:33.373"</f>
        <v>13:50:33.373</v>
      </c>
      <c r="U10" t="str">
        <f t="shared" si="1"/>
        <v>A92BC1</v>
      </c>
      <c r="V10">
        <v>0</v>
      </c>
      <c r="W10">
        <v>0</v>
      </c>
      <c r="X10">
        <v>2</v>
      </c>
      <c r="Z10">
        <v>0</v>
      </c>
      <c r="AA10">
        <v>9</v>
      </c>
      <c r="AB10">
        <v>3</v>
      </c>
      <c r="AC10">
        <v>0</v>
      </c>
      <c r="AD10">
        <v>10</v>
      </c>
      <c r="AE10">
        <v>0</v>
      </c>
      <c r="AF10">
        <v>0</v>
      </c>
      <c r="AG10">
        <v>2</v>
      </c>
      <c r="AH10">
        <v>0</v>
      </c>
      <c r="AI10" t="s">
        <v>127</v>
      </c>
      <c r="AJ10">
        <v>45.630426</v>
      </c>
      <c r="AK10" t="s">
        <v>128</v>
      </c>
      <c r="AL10">
        <v>-89.478943000000001</v>
      </c>
      <c r="AM10">
        <v>100</v>
      </c>
      <c r="AN10">
        <v>1600</v>
      </c>
      <c r="AO10" t="s">
        <v>118</v>
      </c>
      <c r="AP10">
        <v>-135</v>
      </c>
      <c r="AQ10">
        <v>-6</v>
      </c>
      <c r="AR10">
        <v>1472</v>
      </c>
      <c r="AZ10">
        <v>1200</v>
      </c>
      <c r="BA10">
        <v>1</v>
      </c>
      <c r="BB10" t="str">
        <f t="shared" si="2"/>
        <v xml:space="preserve">N690LS  </v>
      </c>
      <c r="BC10">
        <v>1</v>
      </c>
      <c r="BE10">
        <v>0</v>
      </c>
      <c r="BF10">
        <v>0</v>
      </c>
      <c r="BG10">
        <v>0</v>
      </c>
      <c r="BH10">
        <v>1625</v>
      </c>
      <c r="BI10">
        <v>1</v>
      </c>
      <c r="BJ10">
        <v>1</v>
      </c>
      <c r="BK10">
        <v>1</v>
      </c>
      <c r="BL10">
        <v>0</v>
      </c>
      <c r="BO10">
        <v>0</v>
      </c>
      <c r="BP10">
        <v>0</v>
      </c>
      <c r="BW10" t="str">
        <f>"13:50:33.778"</f>
        <v>13:50:33.778</v>
      </c>
      <c r="CJ10">
        <v>0</v>
      </c>
      <c r="CK10">
        <v>2</v>
      </c>
      <c r="CL10">
        <v>0</v>
      </c>
      <c r="CM10">
        <v>2</v>
      </c>
      <c r="CN10">
        <v>0</v>
      </c>
      <c r="CO10">
        <v>7</v>
      </c>
      <c r="CP10" t="s">
        <v>119</v>
      </c>
      <c r="CQ10">
        <v>197</v>
      </c>
      <c r="CR10">
        <v>1</v>
      </c>
      <c r="CW10">
        <v>6959827</v>
      </c>
      <c r="CY10">
        <v>0</v>
      </c>
      <c r="CZ10">
        <v>0</v>
      </c>
      <c r="DA10">
        <v>1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  <c r="DI10">
        <v>0</v>
      </c>
    </row>
    <row r="11" spans="1:113" x14ac:dyDescent="0.3">
      <c r="A11" t="str">
        <f>"09/28/2021 13:50:34.822"</f>
        <v>09/28/2021 13:50:34.822</v>
      </c>
      <c r="C11" t="str">
        <f>"FFD3D3C0"</f>
        <v>FFD3D3C0</v>
      </c>
      <c r="D11" t="s">
        <v>113</v>
      </c>
      <c r="E11">
        <v>7</v>
      </c>
      <c r="H11">
        <v>170</v>
      </c>
      <c r="I11" t="s">
        <v>114</v>
      </c>
      <c r="J11" t="s">
        <v>115</v>
      </c>
      <c r="K11">
        <v>0</v>
      </c>
      <c r="L11">
        <v>3</v>
      </c>
      <c r="M11">
        <v>0</v>
      </c>
      <c r="N11">
        <v>2</v>
      </c>
      <c r="O11">
        <v>1</v>
      </c>
      <c r="P11">
        <v>0</v>
      </c>
      <c r="Q11">
        <v>0</v>
      </c>
      <c r="S11" t="str">
        <f>"13:50:34.297"</f>
        <v>13:50:34.297</v>
      </c>
      <c r="T11" t="str">
        <f>"13:50:33.797"</f>
        <v>13:50:33.797</v>
      </c>
      <c r="U11" t="str">
        <f t="shared" si="1"/>
        <v>A92BC1</v>
      </c>
      <c r="V11">
        <v>0</v>
      </c>
      <c r="W11">
        <v>0</v>
      </c>
      <c r="X11">
        <v>2</v>
      </c>
      <c r="Z11">
        <v>0</v>
      </c>
      <c r="AA11">
        <v>9</v>
      </c>
      <c r="AB11">
        <v>3</v>
      </c>
      <c r="AC11">
        <v>0</v>
      </c>
      <c r="AD11">
        <v>10</v>
      </c>
      <c r="AE11">
        <v>0</v>
      </c>
      <c r="AF11">
        <v>0</v>
      </c>
      <c r="AG11">
        <v>2</v>
      </c>
      <c r="AH11">
        <v>0</v>
      </c>
      <c r="AI11" t="s">
        <v>129</v>
      </c>
      <c r="AJ11">
        <v>45.630448000000001</v>
      </c>
      <c r="AK11" t="s">
        <v>130</v>
      </c>
      <c r="AL11">
        <v>-89.479393999999999</v>
      </c>
      <c r="AM11">
        <v>100</v>
      </c>
      <c r="AN11">
        <v>1600</v>
      </c>
      <c r="AO11" t="s">
        <v>118</v>
      </c>
      <c r="AP11">
        <v>-135</v>
      </c>
      <c r="AQ11">
        <v>-6</v>
      </c>
      <c r="AR11">
        <v>1472</v>
      </c>
      <c r="AZ11">
        <v>1200</v>
      </c>
      <c r="BA11">
        <v>1</v>
      </c>
      <c r="BE11">
        <v>0</v>
      </c>
      <c r="BF11">
        <v>0</v>
      </c>
      <c r="BG11">
        <v>0</v>
      </c>
      <c r="BH11">
        <v>1650</v>
      </c>
      <c r="BI11">
        <v>1</v>
      </c>
      <c r="BJ11">
        <v>1</v>
      </c>
      <c r="BK11">
        <v>1</v>
      </c>
      <c r="BL11">
        <v>0</v>
      </c>
      <c r="BO11">
        <v>0</v>
      </c>
      <c r="BP11">
        <v>0</v>
      </c>
      <c r="BW11" t="str">
        <f>"13:50:34.304"</f>
        <v>13:50:34.304</v>
      </c>
      <c r="CJ11">
        <v>0</v>
      </c>
      <c r="CK11">
        <v>2</v>
      </c>
      <c r="CL11">
        <v>0</v>
      </c>
      <c r="CM11">
        <v>2</v>
      </c>
      <c r="CN11">
        <v>0</v>
      </c>
      <c r="CO11">
        <v>4</v>
      </c>
      <c r="CP11" t="s">
        <v>119</v>
      </c>
      <c r="CQ11">
        <v>209</v>
      </c>
      <c r="CR11">
        <v>3</v>
      </c>
      <c r="CW11">
        <v>7111783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1</v>
      </c>
      <c r="DG11">
        <v>0</v>
      </c>
      <c r="DH11">
        <v>0</v>
      </c>
      <c r="DI11">
        <v>1</v>
      </c>
    </row>
    <row r="12" spans="1:113" x14ac:dyDescent="0.3">
      <c r="A12" t="str">
        <f>"09/28/2021 13:50:34.822"</f>
        <v>09/28/2021 13:50:34.822</v>
      </c>
      <c r="C12" t="str">
        <f>"FFD3D3C0"</f>
        <v>FFD3D3C0</v>
      </c>
      <c r="D12" t="s">
        <v>120</v>
      </c>
      <c r="E12">
        <v>12</v>
      </c>
      <c r="F12">
        <v>1012</v>
      </c>
      <c r="G12" t="s">
        <v>114</v>
      </c>
      <c r="J12" t="s">
        <v>121</v>
      </c>
      <c r="K12">
        <v>0</v>
      </c>
      <c r="L12">
        <v>3</v>
      </c>
      <c r="M12">
        <v>0</v>
      </c>
      <c r="N12">
        <v>2</v>
      </c>
      <c r="O12">
        <v>1</v>
      </c>
      <c r="P12">
        <v>0</v>
      </c>
      <c r="Q12">
        <v>0</v>
      </c>
      <c r="S12" t="str">
        <f>"13:50:34.297"</f>
        <v>13:50:34.297</v>
      </c>
      <c r="T12" t="str">
        <f>"13:50:33.797"</f>
        <v>13:50:33.797</v>
      </c>
      <c r="U12" t="str">
        <f t="shared" si="1"/>
        <v>A92BC1</v>
      </c>
      <c r="V12">
        <v>0</v>
      </c>
      <c r="W12">
        <v>0</v>
      </c>
      <c r="X12">
        <v>2</v>
      </c>
      <c r="Z12">
        <v>0</v>
      </c>
      <c r="AA12">
        <v>9</v>
      </c>
      <c r="AB12">
        <v>3</v>
      </c>
      <c r="AC12">
        <v>0</v>
      </c>
      <c r="AD12">
        <v>10</v>
      </c>
      <c r="AE12">
        <v>0</v>
      </c>
      <c r="AF12">
        <v>0</v>
      </c>
      <c r="AG12">
        <v>2</v>
      </c>
      <c r="AH12">
        <v>0</v>
      </c>
      <c r="AI12" t="s">
        <v>129</v>
      </c>
      <c r="AJ12">
        <v>45.630448000000001</v>
      </c>
      <c r="AK12" t="s">
        <v>130</v>
      </c>
      <c r="AL12">
        <v>-89.479393999999999</v>
      </c>
      <c r="AM12">
        <v>100</v>
      </c>
      <c r="AN12">
        <v>1600</v>
      </c>
      <c r="AO12" t="s">
        <v>118</v>
      </c>
      <c r="AP12">
        <v>-135</v>
      </c>
      <c r="AQ12">
        <v>-6</v>
      </c>
      <c r="AR12">
        <v>1472</v>
      </c>
      <c r="AZ12">
        <v>1200</v>
      </c>
      <c r="BA12">
        <v>1</v>
      </c>
      <c r="BE12">
        <v>0</v>
      </c>
      <c r="BF12">
        <v>0</v>
      </c>
      <c r="BG12">
        <v>0</v>
      </c>
      <c r="BH12">
        <v>1650</v>
      </c>
      <c r="BI12">
        <v>1</v>
      </c>
      <c r="BJ12">
        <v>1</v>
      </c>
      <c r="BK12">
        <v>1</v>
      </c>
      <c r="BL12">
        <v>0</v>
      </c>
      <c r="BO12">
        <v>0</v>
      </c>
      <c r="BP12">
        <v>0</v>
      </c>
      <c r="BW12" t="str">
        <f>"13:50:34.304"</f>
        <v>13:50:34.304</v>
      </c>
      <c r="CJ12">
        <v>0</v>
      </c>
      <c r="CK12">
        <v>2</v>
      </c>
      <c r="CL12">
        <v>0</v>
      </c>
      <c r="CM12">
        <v>2</v>
      </c>
      <c r="CN12">
        <v>0</v>
      </c>
      <c r="CO12">
        <v>4</v>
      </c>
      <c r="CP12" t="s">
        <v>119</v>
      </c>
      <c r="CQ12">
        <v>209</v>
      </c>
      <c r="CR12">
        <v>3</v>
      </c>
      <c r="CW12">
        <v>7111783</v>
      </c>
      <c r="CY12">
        <v>0</v>
      </c>
      <c r="CZ12">
        <v>0</v>
      </c>
      <c r="DA12">
        <v>1</v>
      </c>
      <c r="DB12">
        <v>0</v>
      </c>
      <c r="DC12">
        <v>0</v>
      </c>
      <c r="DD12">
        <v>0</v>
      </c>
      <c r="DE12">
        <v>0</v>
      </c>
      <c r="DF12">
        <v>1</v>
      </c>
      <c r="DG12">
        <v>0</v>
      </c>
      <c r="DH12">
        <v>0</v>
      </c>
      <c r="DI12">
        <v>1</v>
      </c>
    </row>
    <row r="13" spans="1:113" x14ac:dyDescent="0.3">
      <c r="A13" t="str">
        <f>"09/28/2021 13:50:35.541"</f>
        <v>09/28/2021 13:50:35.541</v>
      </c>
      <c r="C13" t="str">
        <f>"FFD3D3C0"</f>
        <v>FFD3D3C0</v>
      </c>
      <c r="D13" t="s">
        <v>120</v>
      </c>
      <c r="E13">
        <v>12</v>
      </c>
      <c r="F13">
        <v>1012</v>
      </c>
      <c r="G13" t="s">
        <v>114</v>
      </c>
      <c r="J13" t="s">
        <v>121</v>
      </c>
      <c r="K13">
        <v>0</v>
      </c>
      <c r="L13">
        <v>3</v>
      </c>
      <c r="M13">
        <v>0</v>
      </c>
      <c r="N13">
        <v>2</v>
      </c>
      <c r="O13">
        <v>1</v>
      </c>
      <c r="P13">
        <v>0</v>
      </c>
      <c r="Q13">
        <v>0</v>
      </c>
      <c r="S13" t="str">
        <f>"13:50:35.281"</f>
        <v>13:50:35.281</v>
      </c>
      <c r="T13" t="str">
        <f>"13:50:34.881"</f>
        <v>13:50:34.881</v>
      </c>
      <c r="U13" t="str">
        <f t="shared" si="1"/>
        <v>A92BC1</v>
      </c>
      <c r="V13">
        <v>0</v>
      </c>
      <c r="W13">
        <v>0</v>
      </c>
      <c r="X13">
        <v>2</v>
      </c>
      <c r="Z13">
        <v>0</v>
      </c>
      <c r="AA13">
        <v>9</v>
      </c>
      <c r="AB13">
        <v>3</v>
      </c>
      <c r="AC13">
        <v>0</v>
      </c>
      <c r="AD13">
        <v>10</v>
      </c>
      <c r="AE13">
        <v>0</v>
      </c>
      <c r="AF13">
        <v>0</v>
      </c>
      <c r="AG13">
        <v>2</v>
      </c>
      <c r="AH13">
        <v>0</v>
      </c>
      <c r="AI13" t="s">
        <v>131</v>
      </c>
      <c r="AJ13">
        <v>45.630405000000003</v>
      </c>
      <c r="AK13" t="s">
        <v>132</v>
      </c>
      <c r="AL13">
        <v>-89.480273999999994</v>
      </c>
      <c r="AM13">
        <v>100</v>
      </c>
      <c r="AN13">
        <v>1700</v>
      </c>
      <c r="AO13" t="s">
        <v>118</v>
      </c>
      <c r="AP13">
        <v>-137</v>
      </c>
      <c r="AQ13">
        <v>-6</v>
      </c>
      <c r="AR13">
        <v>1472</v>
      </c>
      <c r="AZ13">
        <v>1200</v>
      </c>
      <c r="BA13">
        <v>1</v>
      </c>
      <c r="BE13">
        <v>0</v>
      </c>
      <c r="BF13">
        <v>0</v>
      </c>
      <c r="BG13">
        <v>0</v>
      </c>
      <c r="BH13">
        <v>1675</v>
      </c>
      <c r="BI13">
        <v>1</v>
      </c>
      <c r="BJ13">
        <v>1</v>
      </c>
      <c r="BK13">
        <v>1</v>
      </c>
      <c r="BL13">
        <v>0</v>
      </c>
      <c r="BO13">
        <v>0</v>
      </c>
      <c r="BP13">
        <v>0</v>
      </c>
      <c r="BW13" t="str">
        <f>"13:50:35.286"</f>
        <v>13:50:35.286</v>
      </c>
      <c r="CJ13">
        <v>0</v>
      </c>
      <c r="CK13">
        <v>2</v>
      </c>
      <c r="CL13">
        <v>0</v>
      </c>
      <c r="CM13">
        <v>2</v>
      </c>
      <c r="CN13">
        <v>0</v>
      </c>
      <c r="CO13">
        <v>3</v>
      </c>
      <c r="CP13" t="s">
        <v>119</v>
      </c>
      <c r="CQ13">
        <v>209</v>
      </c>
      <c r="CR13">
        <v>3</v>
      </c>
      <c r="CW13">
        <v>7112033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1</v>
      </c>
      <c r="DG13">
        <v>0</v>
      </c>
      <c r="DH13">
        <v>0</v>
      </c>
      <c r="DI13">
        <v>1</v>
      </c>
    </row>
    <row r="14" spans="1:113" x14ac:dyDescent="0.3">
      <c r="A14" t="str">
        <f>"09/28/2021 13:50:35.541"</f>
        <v>09/28/2021 13:50:35.541</v>
      </c>
      <c r="C14" t="str">
        <f>"FFD3D3C0"</f>
        <v>FFD3D3C0</v>
      </c>
      <c r="D14" t="s">
        <v>113</v>
      </c>
      <c r="E14">
        <v>7</v>
      </c>
      <c r="H14">
        <v>170</v>
      </c>
      <c r="I14" t="s">
        <v>114</v>
      </c>
      <c r="J14" t="s">
        <v>115</v>
      </c>
      <c r="K14">
        <v>0</v>
      </c>
      <c r="L14">
        <v>3</v>
      </c>
      <c r="M14">
        <v>0</v>
      </c>
      <c r="N14">
        <v>2</v>
      </c>
      <c r="O14">
        <v>1</v>
      </c>
      <c r="P14">
        <v>0</v>
      </c>
      <c r="Q14">
        <v>0</v>
      </c>
      <c r="S14" t="str">
        <f>"13:50:35.281"</f>
        <v>13:50:35.281</v>
      </c>
      <c r="T14" t="str">
        <f>"13:50:34.881"</f>
        <v>13:50:34.881</v>
      </c>
      <c r="U14" t="str">
        <f t="shared" si="1"/>
        <v>A92BC1</v>
      </c>
      <c r="V14">
        <v>0</v>
      </c>
      <c r="W14">
        <v>0</v>
      </c>
      <c r="X14">
        <v>2</v>
      </c>
      <c r="Z14">
        <v>0</v>
      </c>
      <c r="AA14">
        <v>9</v>
      </c>
      <c r="AB14">
        <v>3</v>
      </c>
      <c r="AC14">
        <v>0</v>
      </c>
      <c r="AD14">
        <v>10</v>
      </c>
      <c r="AE14">
        <v>0</v>
      </c>
      <c r="AF14">
        <v>0</v>
      </c>
      <c r="AG14">
        <v>2</v>
      </c>
      <c r="AH14">
        <v>0</v>
      </c>
      <c r="AI14" t="s">
        <v>131</v>
      </c>
      <c r="AJ14">
        <v>45.630405000000003</v>
      </c>
      <c r="AK14" t="s">
        <v>132</v>
      </c>
      <c r="AL14">
        <v>-89.480273999999994</v>
      </c>
      <c r="AM14">
        <v>100</v>
      </c>
      <c r="AN14">
        <v>1700</v>
      </c>
      <c r="AO14" t="s">
        <v>118</v>
      </c>
      <c r="AP14">
        <v>-137</v>
      </c>
      <c r="AQ14">
        <v>-6</v>
      </c>
      <c r="AR14">
        <v>1472</v>
      </c>
      <c r="AZ14">
        <v>1200</v>
      </c>
      <c r="BA14">
        <v>1</v>
      </c>
      <c r="BE14">
        <v>0</v>
      </c>
      <c r="BF14">
        <v>0</v>
      </c>
      <c r="BG14">
        <v>0</v>
      </c>
      <c r="BH14">
        <v>1675</v>
      </c>
      <c r="BI14">
        <v>1</v>
      </c>
      <c r="BJ14">
        <v>1</v>
      </c>
      <c r="BK14">
        <v>1</v>
      </c>
      <c r="BL14">
        <v>0</v>
      </c>
      <c r="BO14">
        <v>0</v>
      </c>
      <c r="BP14">
        <v>0</v>
      </c>
      <c r="BW14" t="str">
        <f>"13:50:35.286"</f>
        <v>13:50:35.286</v>
      </c>
      <c r="CJ14">
        <v>0</v>
      </c>
      <c r="CK14">
        <v>2</v>
      </c>
      <c r="CL14">
        <v>0</v>
      </c>
      <c r="CM14">
        <v>2</v>
      </c>
      <c r="CN14">
        <v>0</v>
      </c>
      <c r="CO14">
        <v>3</v>
      </c>
      <c r="CP14" t="s">
        <v>119</v>
      </c>
      <c r="CQ14">
        <v>209</v>
      </c>
      <c r="CR14">
        <v>3</v>
      </c>
      <c r="CW14">
        <v>7112033</v>
      </c>
      <c r="CY14">
        <v>0</v>
      </c>
      <c r="CZ14">
        <v>0</v>
      </c>
      <c r="DA14">
        <v>1</v>
      </c>
      <c r="DB14">
        <v>0</v>
      </c>
      <c r="DC14">
        <v>0</v>
      </c>
      <c r="DD14">
        <v>0</v>
      </c>
      <c r="DE14">
        <v>0</v>
      </c>
      <c r="DF14">
        <v>1</v>
      </c>
      <c r="DG14">
        <v>0</v>
      </c>
      <c r="DH14">
        <v>0</v>
      </c>
      <c r="DI14">
        <v>1</v>
      </c>
    </row>
    <row r="15" spans="1:113" x14ac:dyDescent="0.3">
      <c r="A15" t="str">
        <f>"09/28/2021 13:50:36.509"</f>
        <v>09/28/2021 13:50:36.509</v>
      </c>
      <c r="C15" t="str">
        <f t="shared" ref="C15:C36" si="3">"FFDFD3C0"</f>
        <v>FFDFD3C0</v>
      </c>
      <c r="D15" t="s">
        <v>120</v>
      </c>
      <c r="E15">
        <v>12</v>
      </c>
      <c r="F15">
        <v>1012</v>
      </c>
      <c r="G15" t="s">
        <v>114</v>
      </c>
      <c r="J15" t="s">
        <v>121</v>
      </c>
      <c r="K15">
        <v>0</v>
      </c>
      <c r="L15">
        <v>3</v>
      </c>
      <c r="M15">
        <v>0</v>
      </c>
      <c r="N15">
        <v>2</v>
      </c>
      <c r="O15">
        <v>1</v>
      </c>
      <c r="P15">
        <v>0</v>
      </c>
      <c r="Q15">
        <v>0</v>
      </c>
      <c r="S15" t="str">
        <f>"13:50:36.273"</f>
        <v>13:50:36.273</v>
      </c>
      <c r="T15" t="str">
        <f>"13:50:35.773"</f>
        <v>13:50:35.773</v>
      </c>
      <c r="U15" t="str">
        <f t="shared" si="1"/>
        <v>A92BC1</v>
      </c>
      <c r="V15">
        <v>0</v>
      </c>
      <c r="W15">
        <v>0</v>
      </c>
      <c r="X15">
        <v>2</v>
      </c>
      <c r="Z15">
        <v>0</v>
      </c>
      <c r="AA15">
        <v>9</v>
      </c>
      <c r="AB15">
        <v>3</v>
      </c>
      <c r="AC15">
        <v>0</v>
      </c>
      <c r="AD15">
        <v>10</v>
      </c>
      <c r="AE15">
        <v>0</v>
      </c>
      <c r="AF15">
        <v>0</v>
      </c>
      <c r="AG15">
        <v>2</v>
      </c>
      <c r="AH15">
        <v>0</v>
      </c>
      <c r="AI15" t="s">
        <v>133</v>
      </c>
      <c r="AJ15">
        <v>45.630361999999998</v>
      </c>
      <c r="AK15" t="s">
        <v>134</v>
      </c>
      <c r="AL15">
        <v>-89.481239000000002</v>
      </c>
      <c r="AM15">
        <v>100</v>
      </c>
      <c r="AN15">
        <v>1700</v>
      </c>
      <c r="AO15" t="s">
        <v>118</v>
      </c>
      <c r="AP15">
        <v>-138</v>
      </c>
      <c r="AQ15">
        <v>-6</v>
      </c>
      <c r="AR15">
        <v>1472</v>
      </c>
      <c r="AZ15">
        <v>1200</v>
      </c>
      <c r="BA15">
        <v>1</v>
      </c>
      <c r="BB15" t="str">
        <f t="shared" ref="BB15:BB36" si="4">"N690LS  "</f>
        <v xml:space="preserve">N690LS  </v>
      </c>
      <c r="BC15">
        <v>1</v>
      </c>
      <c r="BE15">
        <v>0</v>
      </c>
      <c r="BF15">
        <v>0</v>
      </c>
      <c r="BG15">
        <v>0</v>
      </c>
      <c r="BH15">
        <v>1675</v>
      </c>
      <c r="BI15">
        <v>1</v>
      </c>
      <c r="BJ15">
        <v>1</v>
      </c>
      <c r="BK15">
        <v>1</v>
      </c>
      <c r="BL15">
        <v>0</v>
      </c>
      <c r="BO15">
        <v>0</v>
      </c>
      <c r="BP15">
        <v>0</v>
      </c>
      <c r="BW15" t="str">
        <f>"13:50:36.277"</f>
        <v>13:50:36.277</v>
      </c>
      <c r="CJ15">
        <v>0</v>
      </c>
      <c r="CK15">
        <v>2</v>
      </c>
      <c r="CL15">
        <v>0</v>
      </c>
      <c r="CM15">
        <v>2</v>
      </c>
      <c r="CN15">
        <v>0</v>
      </c>
      <c r="CO15">
        <v>7</v>
      </c>
      <c r="CP15" t="s">
        <v>119</v>
      </c>
      <c r="CQ15">
        <v>197</v>
      </c>
      <c r="CR15">
        <v>1</v>
      </c>
      <c r="CW15">
        <v>6962551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</row>
    <row r="16" spans="1:113" x14ac:dyDescent="0.3">
      <c r="A16" t="str">
        <f>"09/28/2021 13:50:36.524"</f>
        <v>09/28/2021 13:50:36.524</v>
      </c>
      <c r="C16" t="str">
        <f t="shared" si="3"/>
        <v>FFDFD3C0</v>
      </c>
      <c r="D16" t="s">
        <v>113</v>
      </c>
      <c r="E16">
        <v>7</v>
      </c>
      <c r="H16">
        <v>170</v>
      </c>
      <c r="I16" t="s">
        <v>114</v>
      </c>
      <c r="J16" t="s">
        <v>115</v>
      </c>
      <c r="K16">
        <v>0</v>
      </c>
      <c r="L16">
        <v>3</v>
      </c>
      <c r="M16">
        <v>0</v>
      </c>
      <c r="N16">
        <v>2</v>
      </c>
      <c r="O16">
        <v>1</v>
      </c>
      <c r="P16">
        <v>0</v>
      </c>
      <c r="Q16">
        <v>0</v>
      </c>
      <c r="S16" t="str">
        <f>"13:50:36.273"</f>
        <v>13:50:36.273</v>
      </c>
      <c r="T16" t="str">
        <f>"13:50:35.773"</f>
        <v>13:50:35.773</v>
      </c>
      <c r="U16" t="str">
        <f t="shared" si="1"/>
        <v>A92BC1</v>
      </c>
      <c r="V16">
        <v>0</v>
      </c>
      <c r="W16">
        <v>0</v>
      </c>
      <c r="X16">
        <v>2</v>
      </c>
      <c r="Z16">
        <v>0</v>
      </c>
      <c r="AA16">
        <v>9</v>
      </c>
      <c r="AB16">
        <v>3</v>
      </c>
      <c r="AC16">
        <v>0</v>
      </c>
      <c r="AD16">
        <v>10</v>
      </c>
      <c r="AE16">
        <v>0</v>
      </c>
      <c r="AF16">
        <v>0</v>
      </c>
      <c r="AG16">
        <v>2</v>
      </c>
      <c r="AH16">
        <v>0</v>
      </c>
      <c r="AI16" t="s">
        <v>133</v>
      </c>
      <c r="AJ16">
        <v>45.630361999999998</v>
      </c>
      <c r="AK16" t="s">
        <v>134</v>
      </c>
      <c r="AL16">
        <v>-89.481239000000002</v>
      </c>
      <c r="AM16">
        <v>100</v>
      </c>
      <c r="AN16">
        <v>1700</v>
      </c>
      <c r="AO16" t="s">
        <v>118</v>
      </c>
      <c r="AP16">
        <v>-138</v>
      </c>
      <c r="AQ16">
        <v>-6</v>
      </c>
      <c r="AR16">
        <v>1472</v>
      </c>
      <c r="AZ16">
        <v>1200</v>
      </c>
      <c r="BA16">
        <v>1</v>
      </c>
      <c r="BB16" t="str">
        <f t="shared" si="4"/>
        <v xml:space="preserve">N690LS  </v>
      </c>
      <c r="BC16">
        <v>1</v>
      </c>
      <c r="BE16">
        <v>0</v>
      </c>
      <c r="BF16">
        <v>0</v>
      </c>
      <c r="BG16">
        <v>0</v>
      </c>
      <c r="BH16">
        <v>1675</v>
      </c>
      <c r="BI16">
        <v>1</v>
      </c>
      <c r="BJ16">
        <v>1</v>
      </c>
      <c r="BK16">
        <v>1</v>
      </c>
      <c r="BL16">
        <v>0</v>
      </c>
      <c r="BO16">
        <v>0</v>
      </c>
      <c r="BP16">
        <v>0</v>
      </c>
      <c r="BW16" t="str">
        <f>"13:50:36.277"</f>
        <v>13:50:36.277</v>
      </c>
      <c r="CJ16">
        <v>0</v>
      </c>
      <c r="CK16">
        <v>2</v>
      </c>
      <c r="CL16">
        <v>0</v>
      </c>
      <c r="CM16">
        <v>2</v>
      </c>
      <c r="CN16">
        <v>0</v>
      </c>
      <c r="CO16">
        <v>7</v>
      </c>
      <c r="CP16" t="s">
        <v>119</v>
      </c>
      <c r="CQ16">
        <v>197</v>
      </c>
      <c r="CR16">
        <v>1</v>
      </c>
      <c r="CW16">
        <v>6962551</v>
      </c>
      <c r="CY16">
        <v>0</v>
      </c>
      <c r="CZ16">
        <v>0</v>
      </c>
      <c r="DA16">
        <v>1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  <c r="DH16">
        <v>0</v>
      </c>
      <c r="DI16">
        <v>0</v>
      </c>
    </row>
    <row r="17" spans="1:113" x14ac:dyDescent="0.3">
      <c r="A17" t="str">
        <f>"09/28/2021 13:50:37.399"</f>
        <v>09/28/2021 13:50:37.399</v>
      </c>
      <c r="C17" t="str">
        <f t="shared" si="3"/>
        <v>FFDFD3C0</v>
      </c>
      <c r="D17" t="s">
        <v>120</v>
      </c>
      <c r="E17">
        <v>12</v>
      </c>
      <c r="F17">
        <v>1012</v>
      </c>
      <c r="G17" t="s">
        <v>114</v>
      </c>
      <c r="J17" t="s">
        <v>121</v>
      </c>
      <c r="K17">
        <v>0</v>
      </c>
      <c r="L17">
        <v>3</v>
      </c>
      <c r="M17">
        <v>0</v>
      </c>
      <c r="N17">
        <v>2</v>
      </c>
      <c r="O17">
        <v>1</v>
      </c>
      <c r="P17">
        <v>0</v>
      </c>
      <c r="Q17">
        <v>0</v>
      </c>
      <c r="S17" t="str">
        <f>"13:50:37.188"</f>
        <v>13:50:37.188</v>
      </c>
      <c r="T17" t="str">
        <f>"13:50:36.788"</f>
        <v>13:50:36.788</v>
      </c>
      <c r="U17" t="str">
        <f t="shared" si="1"/>
        <v>A92BC1</v>
      </c>
      <c r="V17">
        <v>0</v>
      </c>
      <c r="W17">
        <v>0</v>
      </c>
      <c r="X17">
        <v>2</v>
      </c>
      <c r="Z17">
        <v>0</v>
      </c>
      <c r="AA17">
        <v>9</v>
      </c>
      <c r="AB17">
        <v>3</v>
      </c>
      <c r="AC17">
        <v>0</v>
      </c>
      <c r="AD17">
        <v>10</v>
      </c>
      <c r="AE17">
        <v>0</v>
      </c>
      <c r="AF17">
        <v>0</v>
      </c>
      <c r="AG17">
        <v>2</v>
      </c>
      <c r="AH17">
        <v>0</v>
      </c>
      <c r="AI17" t="s">
        <v>135</v>
      </c>
      <c r="AJ17">
        <v>45.630341000000001</v>
      </c>
      <c r="AK17" t="s">
        <v>136</v>
      </c>
      <c r="AL17">
        <v>-89.482033000000001</v>
      </c>
      <c r="AM17">
        <v>100</v>
      </c>
      <c r="AN17">
        <v>1700</v>
      </c>
      <c r="AO17" t="s">
        <v>118</v>
      </c>
      <c r="AP17">
        <v>-139</v>
      </c>
      <c r="AQ17">
        <v>-6</v>
      </c>
      <c r="AR17">
        <v>1536</v>
      </c>
      <c r="AZ17">
        <v>1200</v>
      </c>
      <c r="BA17">
        <v>1</v>
      </c>
      <c r="BB17" t="str">
        <f t="shared" si="4"/>
        <v xml:space="preserve">N690LS  </v>
      </c>
      <c r="BC17">
        <v>1</v>
      </c>
      <c r="BE17">
        <v>0</v>
      </c>
      <c r="BF17">
        <v>0</v>
      </c>
      <c r="BG17">
        <v>0</v>
      </c>
      <c r="BH17">
        <v>1700</v>
      </c>
      <c r="BI17">
        <v>1</v>
      </c>
      <c r="BJ17">
        <v>1</v>
      </c>
      <c r="BK17">
        <v>1</v>
      </c>
      <c r="BL17">
        <v>0</v>
      </c>
      <c r="BO17">
        <v>0</v>
      </c>
      <c r="BP17">
        <v>0</v>
      </c>
      <c r="BW17" t="str">
        <f>"13:50:37.188"</f>
        <v>13:50:37.188</v>
      </c>
      <c r="CJ17">
        <v>0</v>
      </c>
      <c r="CK17">
        <v>2</v>
      </c>
      <c r="CL17">
        <v>0</v>
      </c>
      <c r="CM17">
        <v>2</v>
      </c>
      <c r="CN17">
        <v>0</v>
      </c>
      <c r="CO17">
        <v>7</v>
      </c>
      <c r="CP17" t="s">
        <v>119</v>
      </c>
      <c r="CQ17">
        <v>197</v>
      </c>
      <c r="CR17">
        <v>1</v>
      </c>
      <c r="CW17">
        <v>6963562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  <c r="DI17">
        <v>0</v>
      </c>
    </row>
    <row r="18" spans="1:113" x14ac:dyDescent="0.3">
      <c r="A18" t="str">
        <f>"09/28/2021 13:50:37.399"</f>
        <v>09/28/2021 13:50:37.399</v>
      </c>
      <c r="C18" t="str">
        <f t="shared" si="3"/>
        <v>FFDFD3C0</v>
      </c>
      <c r="D18" t="s">
        <v>113</v>
      </c>
      <c r="E18">
        <v>7</v>
      </c>
      <c r="H18">
        <v>170</v>
      </c>
      <c r="I18" t="s">
        <v>114</v>
      </c>
      <c r="J18" t="s">
        <v>115</v>
      </c>
      <c r="K18">
        <v>0</v>
      </c>
      <c r="L18">
        <v>3</v>
      </c>
      <c r="M18">
        <v>0</v>
      </c>
      <c r="N18">
        <v>2</v>
      </c>
      <c r="O18">
        <v>1</v>
      </c>
      <c r="P18">
        <v>0</v>
      </c>
      <c r="Q18">
        <v>0</v>
      </c>
      <c r="S18" t="str">
        <f>"13:50:37.188"</f>
        <v>13:50:37.188</v>
      </c>
      <c r="T18" t="str">
        <f>"13:50:36.788"</f>
        <v>13:50:36.788</v>
      </c>
      <c r="U18" t="str">
        <f t="shared" si="1"/>
        <v>A92BC1</v>
      </c>
      <c r="V18">
        <v>0</v>
      </c>
      <c r="W18">
        <v>0</v>
      </c>
      <c r="X18">
        <v>2</v>
      </c>
      <c r="Z18">
        <v>0</v>
      </c>
      <c r="AA18">
        <v>9</v>
      </c>
      <c r="AB18">
        <v>3</v>
      </c>
      <c r="AC18">
        <v>0</v>
      </c>
      <c r="AD18">
        <v>10</v>
      </c>
      <c r="AE18">
        <v>0</v>
      </c>
      <c r="AF18">
        <v>0</v>
      </c>
      <c r="AG18">
        <v>2</v>
      </c>
      <c r="AH18">
        <v>0</v>
      </c>
      <c r="AI18" t="s">
        <v>135</v>
      </c>
      <c r="AJ18">
        <v>45.630341000000001</v>
      </c>
      <c r="AK18" t="s">
        <v>136</v>
      </c>
      <c r="AL18">
        <v>-89.482033000000001</v>
      </c>
      <c r="AM18">
        <v>100</v>
      </c>
      <c r="AN18">
        <v>1700</v>
      </c>
      <c r="AO18" t="s">
        <v>118</v>
      </c>
      <c r="AP18">
        <v>-139</v>
      </c>
      <c r="AQ18">
        <v>-6</v>
      </c>
      <c r="AR18">
        <v>1536</v>
      </c>
      <c r="AZ18">
        <v>1200</v>
      </c>
      <c r="BA18">
        <v>1</v>
      </c>
      <c r="BB18" t="str">
        <f t="shared" si="4"/>
        <v xml:space="preserve">N690LS  </v>
      </c>
      <c r="BC18">
        <v>1</v>
      </c>
      <c r="BE18">
        <v>0</v>
      </c>
      <c r="BF18">
        <v>0</v>
      </c>
      <c r="BG18">
        <v>0</v>
      </c>
      <c r="BH18">
        <v>1700</v>
      </c>
      <c r="BI18">
        <v>1</v>
      </c>
      <c r="BJ18">
        <v>1</v>
      </c>
      <c r="BK18">
        <v>1</v>
      </c>
      <c r="BL18">
        <v>0</v>
      </c>
      <c r="BO18">
        <v>0</v>
      </c>
      <c r="BP18">
        <v>0</v>
      </c>
      <c r="BW18" t="str">
        <f>"13:50:37.188"</f>
        <v>13:50:37.188</v>
      </c>
      <c r="CJ18">
        <v>0</v>
      </c>
      <c r="CK18">
        <v>2</v>
      </c>
      <c r="CL18">
        <v>0</v>
      </c>
      <c r="CM18">
        <v>2</v>
      </c>
      <c r="CN18">
        <v>0</v>
      </c>
      <c r="CO18">
        <v>7</v>
      </c>
      <c r="CP18" t="s">
        <v>119</v>
      </c>
      <c r="CQ18">
        <v>197</v>
      </c>
      <c r="CR18">
        <v>1</v>
      </c>
      <c r="CW18">
        <v>6963562</v>
      </c>
      <c r="CY18">
        <v>0</v>
      </c>
      <c r="CZ18">
        <v>0</v>
      </c>
      <c r="DA18">
        <v>1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0</v>
      </c>
      <c r="DH18">
        <v>0</v>
      </c>
      <c r="DI18">
        <v>0</v>
      </c>
    </row>
    <row r="19" spans="1:113" x14ac:dyDescent="0.3">
      <c r="A19" t="str">
        <f>"09/28/2021 13:50:38.510"</f>
        <v>09/28/2021 13:50:38.510</v>
      </c>
      <c r="C19" t="str">
        <f t="shared" si="3"/>
        <v>FFDFD3C0</v>
      </c>
      <c r="D19" t="s">
        <v>113</v>
      </c>
      <c r="E19">
        <v>7</v>
      </c>
      <c r="H19">
        <v>170</v>
      </c>
      <c r="I19" t="s">
        <v>114</v>
      </c>
      <c r="J19" t="s">
        <v>115</v>
      </c>
      <c r="K19">
        <v>0</v>
      </c>
      <c r="L19">
        <v>3</v>
      </c>
      <c r="M19">
        <v>0</v>
      </c>
      <c r="N19">
        <v>2</v>
      </c>
      <c r="O19">
        <v>1</v>
      </c>
      <c r="P19">
        <v>0</v>
      </c>
      <c r="Q19">
        <v>0</v>
      </c>
      <c r="S19" t="str">
        <f>"13:50:38.305"</f>
        <v>13:50:38.305</v>
      </c>
      <c r="T19" t="str">
        <f>"13:50:37.805"</f>
        <v>13:50:37.805</v>
      </c>
      <c r="U19" t="str">
        <f t="shared" si="1"/>
        <v>A92BC1</v>
      </c>
      <c r="V19">
        <v>0</v>
      </c>
      <c r="W19">
        <v>0</v>
      </c>
      <c r="X19">
        <v>2</v>
      </c>
      <c r="Z19">
        <v>0</v>
      </c>
      <c r="AA19">
        <v>9</v>
      </c>
      <c r="AB19">
        <v>3</v>
      </c>
      <c r="AC19">
        <v>0</v>
      </c>
      <c r="AD19">
        <v>10</v>
      </c>
      <c r="AE19">
        <v>0</v>
      </c>
      <c r="AF19">
        <v>0</v>
      </c>
      <c r="AG19">
        <v>2</v>
      </c>
      <c r="AH19">
        <v>0</v>
      </c>
      <c r="AI19" t="s">
        <v>137</v>
      </c>
      <c r="AJ19">
        <v>45.630319</v>
      </c>
      <c r="AK19" t="s">
        <v>138</v>
      </c>
      <c r="AL19">
        <v>-89.483019999999996</v>
      </c>
      <c r="AM19">
        <v>100</v>
      </c>
      <c r="AN19">
        <v>1700</v>
      </c>
      <c r="AO19" t="s">
        <v>118</v>
      </c>
      <c r="AP19">
        <v>-140</v>
      </c>
      <c r="AQ19">
        <v>-5</v>
      </c>
      <c r="AR19">
        <v>1728</v>
      </c>
      <c r="AZ19">
        <v>1200</v>
      </c>
      <c r="BA19">
        <v>1</v>
      </c>
      <c r="BB19" t="str">
        <f t="shared" si="4"/>
        <v xml:space="preserve">N690LS  </v>
      </c>
      <c r="BC19">
        <v>1</v>
      </c>
      <c r="BE19">
        <v>0</v>
      </c>
      <c r="BF19">
        <v>0</v>
      </c>
      <c r="BG19">
        <v>0</v>
      </c>
      <c r="BH19">
        <v>1750</v>
      </c>
      <c r="BI19">
        <v>1</v>
      </c>
      <c r="BJ19">
        <v>1</v>
      </c>
      <c r="BK19">
        <v>1</v>
      </c>
      <c r="BL19">
        <v>0</v>
      </c>
      <c r="BO19">
        <v>0</v>
      </c>
      <c r="BP19">
        <v>0</v>
      </c>
      <c r="BW19" t="str">
        <f>"13:50:38.308"</f>
        <v>13:50:38.308</v>
      </c>
      <c r="CJ19">
        <v>0</v>
      </c>
      <c r="CK19">
        <v>2</v>
      </c>
      <c r="CL19">
        <v>0</v>
      </c>
      <c r="CM19">
        <v>2</v>
      </c>
      <c r="CN19">
        <v>0</v>
      </c>
      <c r="CO19">
        <v>7</v>
      </c>
      <c r="CP19" t="s">
        <v>119</v>
      </c>
      <c r="CQ19">
        <v>197</v>
      </c>
      <c r="CR19">
        <v>2</v>
      </c>
      <c r="CW19">
        <v>2095687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0</v>
      </c>
      <c r="DI19">
        <v>0</v>
      </c>
    </row>
    <row r="20" spans="1:113" x14ac:dyDescent="0.3">
      <c r="A20" t="str">
        <f>"09/28/2021 13:50:38.588"</f>
        <v>09/28/2021 13:50:38.588</v>
      </c>
      <c r="C20" t="str">
        <f t="shared" si="3"/>
        <v>FFDFD3C0</v>
      </c>
      <c r="D20" t="s">
        <v>120</v>
      </c>
      <c r="E20">
        <v>12</v>
      </c>
      <c r="F20">
        <v>1012</v>
      </c>
      <c r="G20" t="s">
        <v>114</v>
      </c>
      <c r="J20" t="s">
        <v>121</v>
      </c>
      <c r="K20">
        <v>0</v>
      </c>
      <c r="L20">
        <v>3</v>
      </c>
      <c r="M20">
        <v>0</v>
      </c>
      <c r="N20">
        <v>2</v>
      </c>
      <c r="O20">
        <v>1</v>
      </c>
      <c r="P20">
        <v>0</v>
      </c>
      <c r="Q20">
        <v>0</v>
      </c>
      <c r="S20" t="str">
        <f>"13:50:38.305"</f>
        <v>13:50:38.305</v>
      </c>
      <c r="T20" t="str">
        <f>"13:50:37.805"</f>
        <v>13:50:37.805</v>
      </c>
      <c r="U20" t="str">
        <f t="shared" si="1"/>
        <v>A92BC1</v>
      </c>
      <c r="V20">
        <v>0</v>
      </c>
      <c r="W20">
        <v>0</v>
      </c>
      <c r="X20">
        <v>2</v>
      </c>
      <c r="Z20">
        <v>0</v>
      </c>
      <c r="AA20">
        <v>9</v>
      </c>
      <c r="AB20">
        <v>3</v>
      </c>
      <c r="AC20">
        <v>0</v>
      </c>
      <c r="AD20">
        <v>10</v>
      </c>
      <c r="AE20">
        <v>0</v>
      </c>
      <c r="AF20">
        <v>0</v>
      </c>
      <c r="AG20">
        <v>2</v>
      </c>
      <c r="AH20">
        <v>0</v>
      </c>
      <c r="AI20" t="s">
        <v>137</v>
      </c>
      <c r="AJ20">
        <v>45.630319</v>
      </c>
      <c r="AK20" t="s">
        <v>138</v>
      </c>
      <c r="AL20">
        <v>-89.483019999999996</v>
      </c>
      <c r="AM20">
        <v>100</v>
      </c>
      <c r="AN20">
        <v>1700</v>
      </c>
      <c r="AO20" t="s">
        <v>118</v>
      </c>
      <c r="AP20">
        <v>-140</v>
      </c>
      <c r="AQ20">
        <v>-5</v>
      </c>
      <c r="AR20">
        <v>1728</v>
      </c>
      <c r="AZ20">
        <v>1200</v>
      </c>
      <c r="BA20">
        <v>1</v>
      </c>
      <c r="BB20" t="str">
        <f t="shared" si="4"/>
        <v xml:space="preserve">N690LS  </v>
      </c>
      <c r="BC20">
        <v>1</v>
      </c>
      <c r="BE20">
        <v>0</v>
      </c>
      <c r="BF20">
        <v>0</v>
      </c>
      <c r="BG20">
        <v>0</v>
      </c>
      <c r="BH20">
        <v>1750</v>
      </c>
      <c r="BI20">
        <v>1</v>
      </c>
      <c r="BJ20">
        <v>1</v>
      </c>
      <c r="BK20">
        <v>1</v>
      </c>
      <c r="BL20">
        <v>0</v>
      </c>
      <c r="BO20">
        <v>0</v>
      </c>
      <c r="BP20">
        <v>0</v>
      </c>
      <c r="BW20" t="str">
        <f>"13:50:38.308"</f>
        <v>13:50:38.308</v>
      </c>
      <c r="CJ20">
        <v>0</v>
      </c>
      <c r="CK20">
        <v>2</v>
      </c>
      <c r="CL20">
        <v>0</v>
      </c>
      <c r="CM20">
        <v>2</v>
      </c>
      <c r="CN20">
        <v>0</v>
      </c>
      <c r="CO20">
        <v>7</v>
      </c>
      <c r="CP20" t="s">
        <v>119</v>
      </c>
      <c r="CQ20">
        <v>197</v>
      </c>
      <c r="CR20">
        <v>2</v>
      </c>
      <c r="CW20">
        <v>2095687</v>
      </c>
      <c r="CY20">
        <v>0</v>
      </c>
      <c r="CZ20">
        <v>0</v>
      </c>
      <c r="DA20">
        <v>1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  <c r="DI20">
        <v>0</v>
      </c>
    </row>
    <row r="21" spans="1:113" x14ac:dyDescent="0.3">
      <c r="A21" t="str">
        <f>"09/28/2021 13:50:39.447"</f>
        <v>09/28/2021 13:50:39.447</v>
      </c>
      <c r="C21" t="str">
        <f t="shared" si="3"/>
        <v>FFDFD3C0</v>
      </c>
      <c r="D21" t="s">
        <v>120</v>
      </c>
      <c r="E21">
        <v>12</v>
      </c>
      <c r="F21">
        <v>1012</v>
      </c>
      <c r="G21" t="s">
        <v>114</v>
      </c>
      <c r="J21" t="s">
        <v>121</v>
      </c>
      <c r="K21">
        <v>0</v>
      </c>
      <c r="L21">
        <v>3</v>
      </c>
      <c r="M21">
        <v>0</v>
      </c>
      <c r="N21">
        <v>2</v>
      </c>
      <c r="O21">
        <v>1</v>
      </c>
      <c r="P21">
        <v>0</v>
      </c>
      <c r="Q21">
        <v>0</v>
      </c>
      <c r="S21" t="str">
        <f>"13:50:39.242"</f>
        <v>13:50:39.242</v>
      </c>
      <c r="T21" t="str">
        <f>"13:50:38.842"</f>
        <v>13:50:38.842</v>
      </c>
      <c r="U21" t="str">
        <f t="shared" si="1"/>
        <v>A92BC1</v>
      </c>
      <c r="V21">
        <v>0</v>
      </c>
      <c r="W21">
        <v>0</v>
      </c>
      <c r="X21">
        <v>2</v>
      </c>
      <c r="Z21">
        <v>0</v>
      </c>
      <c r="AA21">
        <v>9</v>
      </c>
      <c r="AB21">
        <v>3</v>
      </c>
      <c r="AC21">
        <v>0</v>
      </c>
      <c r="AD21">
        <v>10</v>
      </c>
      <c r="AE21">
        <v>0</v>
      </c>
      <c r="AF21">
        <v>0</v>
      </c>
      <c r="AG21">
        <v>2</v>
      </c>
      <c r="AH21">
        <v>0</v>
      </c>
      <c r="AI21" t="s">
        <v>137</v>
      </c>
      <c r="AJ21">
        <v>45.630319</v>
      </c>
      <c r="AK21" t="s">
        <v>139</v>
      </c>
      <c r="AL21">
        <v>-89.483986000000002</v>
      </c>
      <c r="AM21">
        <v>100</v>
      </c>
      <c r="AN21">
        <v>1800</v>
      </c>
      <c r="AO21" t="s">
        <v>118</v>
      </c>
      <c r="AP21">
        <v>-140</v>
      </c>
      <c r="AQ21">
        <v>-4</v>
      </c>
      <c r="AR21">
        <v>2112</v>
      </c>
      <c r="AZ21">
        <v>1200</v>
      </c>
      <c r="BA21">
        <v>1</v>
      </c>
      <c r="BB21" t="str">
        <f t="shared" si="4"/>
        <v xml:space="preserve">N690LS  </v>
      </c>
      <c r="BC21">
        <v>1</v>
      </c>
      <c r="BE21">
        <v>0</v>
      </c>
      <c r="BF21">
        <v>0</v>
      </c>
      <c r="BG21">
        <v>0</v>
      </c>
      <c r="BH21">
        <v>1775</v>
      </c>
      <c r="BI21">
        <v>1</v>
      </c>
      <c r="BJ21">
        <v>1</v>
      </c>
      <c r="BK21">
        <v>1</v>
      </c>
      <c r="BL21">
        <v>0</v>
      </c>
      <c r="BO21">
        <v>0</v>
      </c>
      <c r="BP21">
        <v>0</v>
      </c>
      <c r="BW21" t="str">
        <f>"13:50:39.248"</f>
        <v>13:50:39.248</v>
      </c>
      <c r="CJ21">
        <v>0</v>
      </c>
      <c r="CK21">
        <v>2</v>
      </c>
      <c r="CL21">
        <v>0</v>
      </c>
      <c r="CM21">
        <v>2</v>
      </c>
      <c r="CN21">
        <v>0</v>
      </c>
      <c r="CO21">
        <v>4</v>
      </c>
      <c r="CP21" t="s">
        <v>119</v>
      </c>
      <c r="CQ21">
        <v>209</v>
      </c>
      <c r="CR21">
        <v>3</v>
      </c>
      <c r="CW21">
        <v>7113200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0</v>
      </c>
      <c r="DI21">
        <v>0</v>
      </c>
    </row>
    <row r="22" spans="1:113" x14ac:dyDescent="0.3">
      <c r="A22" t="str">
        <f>"09/28/2021 13:50:39.447"</f>
        <v>09/28/2021 13:50:39.447</v>
      </c>
      <c r="C22" t="str">
        <f t="shared" si="3"/>
        <v>FFDFD3C0</v>
      </c>
      <c r="D22" t="s">
        <v>113</v>
      </c>
      <c r="E22">
        <v>7</v>
      </c>
      <c r="H22">
        <v>170</v>
      </c>
      <c r="I22" t="s">
        <v>114</v>
      </c>
      <c r="J22" t="s">
        <v>115</v>
      </c>
      <c r="K22">
        <v>0</v>
      </c>
      <c r="L22">
        <v>3</v>
      </c>
      <c r="M22">
        <v>0</v>
      </c>
      <c r="N22">
        <v>2</v>
      </c>
      <c r="O22">
        <v>1</v>
      </c>
      <c r="P22">
        <v>0</v>
      </c>
      <c r="Q22">
        <v>0</v>
      </c>
      <c r="S22" t="str">
        <f>"13:50:39.242"</f>
        <v>13:50:39.242</v>
      </c>
      <c r="T22" t="str">
        <f>"13:50:38.842"</f>
        <v>13:50:38.842</v>
      </c>
      <c r="U22" t="str">
        <f t="shared" si="1"/>
        <v>A92BC1</v>
      </c>
      <c r="V22">
        <v>0</v>
      </c>
      <c r="W22">
        <v>0</v>
      </c>
      <c r="X22">
        <v>2</v>
      </c>
      <c r="Z22">
        <v>0</v>
      </c>
      <c r="AA22">
        <v>9</v>
      </c>
      <c r="AB22">
        <v>3</v>
      </c>
      <c r="AC22">
        <v>0</v>
      </c>
      <c r="AD22">
        <v>10</v>
      </c>
      <c r="AE22">
        <v>0</v>
      </c>
      <c r="AF22">
        <v>0</v>
      </c>
      <c r="AG22">
        <v>2</v>
      </c>
      <c r="AH22">
        <v>0</v>
      </c>
      <c r="AI22" t="s">
        <v>137</v>
      </c>
      <c r="AJ22">
        <v>45.630319</v>
      </c>
      <c r="AK22" t="s">
        <v>139</v>
      </c>
      <c r="AL22">
        <v>-89.483986000000002</v>
      </c>
      <c r="AM22">
        <v>100</v>
      </c>
      <c r="AN22">
        <v>1800</v>
      </c>
      <c r="AO22" t="s">
        <v>118</v>
      </c>
      <c r="AP22">
        <v>-140</v>
      </c>
      <c r="AQ22">
        <v>-4</v>
      </c>
      <c r="AR22">
        <v>2112</v>
      </c>
      <c r="AZ22">
        <v>1200</v>
      </c>
      <c r="BA22">
        <v>1</v>
      </c>
      <c r="BB22" t="str">
        <f t="shared" si="4"/>
        <v xml:space="preserve">N690LS  </v>
      </c>
      <c r="BC22">
        <v>1</v>
      </c>
      <c r="BE22">
        <v>0</v>
      </c>
      <c r="BF22">
        <v>0</v>
      </c>
      <c r="BG22">
        <v>0</v>
      </c>
      <c r="BH22">
        <v>1775</v>
      </c>
      <c r="BI22">
        <v>1</v>
      </c>
      <c r="BJ22">
        <v>1</v>
      </c>
      <c r="BK22">
        <v>1</v>
      </c>
      <c r="BL22">
        <v>0</v>
      </c>
      <c r="BO22">
        <v>0</v>
      </c>
      <c r="BP22">
        <v>0</v>
      </c>
      <c r="BW22" t="str">
        <f>"13:50:39.248"</f>
        <v>13:50:39.248</v>
      </c>
      <c r="CJ22">
        <v>0</v>
      </c>
      <c r="CK22">
        <v>2</v>
      </c>
      <c r="CL22">
        <v>0</v>
      </c>
      <c r="CM22">
        <v>2</v>
      </c>
      <c r="CN22">
        <v>0</v>
      </c>
      <c r="CO22">
        <v>4</v>
      </c>
      <c r="CP22" t="s">
        <v>119</v>
      </c>
      <c r="CQ22">
        <v>209</v>
      </c>
      <c r="CR22">
        <v>3</v>
      </c>
      <c r="CW22">
        <v>7113200</v>
      </c>
      <c r="CY22">
        <v>0</v>
      </c>
      <c r="CZ22">
        <v>0</v>
      </c>
      <c r="DA22">
        <v>1</v>
      </c>
      <c r="DB22">
        <v>0</v>
      </c>
      <c r="DC22">
        <v>0</v>
      </c>
      <c r="DD22">
        <v>0</v>
      </c>
      <c r="DE22">
        <v>0</v>
      </c>
      <c r="DF22">
        <v>0</v>
      </c>
      <c r="DG22">
        <v>0</v>
      </c>
      <c r="DH22">
        <v>0</v>
      </c>
      <c r="DI22">
        <v>0</v>
      </c>
    </row>
    <row r="23" spans="1:113" x14ac:dyDescent="0.3">
      <c r="A23" t="str">
        <f>"09/28/2021 13:50:40.479"</f>
        <v>09/28/2021 13:50:40.479</v>
      </c>
      <c r="C23" t="str">
        <f t="shared" si="3"/>
        <v>FFDFD3C0</v>
      </c>
      <c r="D23" t="s">
        <v>120</v>
      </c>
      <c r="E23">
        <v>12</v>
      </c>
      <c r="F23">
        <v>1012</v>
      </c>
      <c r="G23" t="s">
        <v>114</v>
      </c>
      <c r="J23" t="s">
        <v>121</v>
      </c>
      <c r="K23">
        <v>0</v>
      </c>
      <c r="L23">
        <v>3</v>
      </c>
      <c r="M23">
        <v>0</v>
      </c>
      <c r="N23">
        <v>2</v>
      </c>
      <c r="O23">
        <v>1</v>
      </c>
      <c r="P23">
        <v>0</v>
      </c>
      <c r="Q23">
        <v>0</v>
      </c>
      <c r="S23" t="str">
        <f>"13:50:40.258"</f>
        <v>13:50:40.258</v>
      </c>
      <c r="T23" t="str">
        <f>"13:50:39.758"</f>
        <v>13:50:39.758</v>
      </c>
      <c r="U23" t="str">
        <f t="shared" si="1"/>
        <v>A92BC1</v>
      </c>
      <c r="V23">
        <v>0</v>
      </c>
      <c r="W23">
        <v>0</v>
      </c>
      <c r="X23">
        <v>2</v>
      </c>
      <c r="Z23">
        <v>0</v>
      </c>
      <c r="AA23">
        <v>9</v>
      </c>
      <c r="AB23">
        <v>3</v>
      </c>
      <c r="AC23">
        <v>0</v>
      </c>
      <c r="AD23">
        <v>10</v>
      </c>
      <c r="AE23">
        <v>0</v>
      </c>
      <c r="AF23">
        <v>0</v>
      </c>
      <c r="AG23">
        <v>2</v>
      </c>
      <c r="AH23">
        <v>0</v>
      </c>
      <c r="AI23" t="s">
        <v>140</v>
      </c>
      <c r="AJ23">
        <v>45.630276000000002</v>
      </c>
      <c r="AK23" t="s">
        <v>141</v>
      </c>
      <c r="AL23">
        <v>-89.484887000000001</v>
      </c>
      <c r="AM23">
        <v>100</v>
      </c>
      <c r="AN23">
        <v>1800</v>
      </c>
      <c r="AO23" t="s">
        <v>118</v>
      </c>
      <c r="AP23">
        <v>-140</v>
      </c>
      <c r="AQ23">
        <v>-4</v>
      </c>
      <c r="AR23">
        <v>2304</v>
      </c>
      <c r="AZ23">
        <v>1200</v>
      </c>
      <c r="BA23">
        <v>1</v>
      </c>
      <c r="BB23" t="str">
        <f t="shared" si="4"/>
        <v xml:space="preserve">N690LS  </v>
      </c>
      <c r="BC23">
        <v>1</v>
      </c>
      <c r="BE23">
        <v>0</v>
      </c>
      <c r="BF23">
        <v>0</v>
      </c>
      <c r="BG23">
        <v>0</v>
      </c>
      <c r="BH23">
        <v>1800</v>
      </c>
      <c r="BI23">
        <v>1</v>
      </c>
      <c r="BJ23">
        <v>1</v>
      </c>
      <c r="BK23">
        <v>1</v>
      </c>
      <c r="BL23">
        <v>0</v>
      </c>
      <c r="BO23">
        <v>0</v>
      </c>
      <c r="BP23">
        <v>0</v>
      </c>
      <c r="BW23" t="str">
        <f>"13:50:40.263"</f>
        <v>13:50:40.263</v>
      </c>
      <c r="CJ23">
        <v>0</v>
      </c>
      <c r="CK23">
        <v>2</v>
      </c>
      <c r="CL23">
        <v>0</v>
      </c>
      <c r="CM23">
        <v>2</v>
      </c>
      <c r="CN23">
        <v>0</v>
      </c>
      <c r="CO23">
        <v>1</v>
      </c>
      <c r="CP23" t="s">
        <v>119</v>
      </c>
      <c r="CQ23">
        <v>209</v>
      </c>
      <c r="CR23">
        <v>3</v>
      </c>
      <c r="CW23">
        <v>7113480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0</v>
      </c>
      <c r="DI23">
        <v>0</v>
      </c>
    </row>
    <row r="24" spans="1:113" x14ac:dyDescent="0.3">
      <c r="A24" t="str">
        <f>"09/28/2021 13:50:40.479"</f>
        <v>09/28/2021 13:50:40.479</v>
      </c>
      <c r="C24" t="str">
        <f t="shared" si="3"/>
        <v>FFDFD3C0</v>
      </c>
      <c r="D24" t="s">
        <v>113</v>
      </c>
      <c r="E24">
        <v>7</v>
      </c>
      <c r="H24">
        <v>170</v>
      </c>
      <c r="I24" t="s">
        <v>114</v>
      </c>
      <c r="J24" t="s">
        <v>115</v>
      </c>
      <c r="K24">
        <v>0</v>
      </c>
      <c r="L24">
        <v>3</v>
      </c>
      <c r="M24">
        <v>0</v>
      </c>
      <c r="N24">
        <v>2</v>
      </c>
      <c r="O24">
        <v>1</v>
      </c>
      <c r="P24">
        <v>0</v>
      </c>
      <c r="Q24">
        <v>0</v>
      </c>
      <c r="S24" t="str">
        <f>"13:50:40.258"</f>
        <v>13:50:40.258</v>
      </c>
      <c r="T24" t="str">
        <f>"13:50:39.758"</f>
        <v>13:50:39.758</v>
      </c>
      <c r="U24" t="str">
        <f t="shared" si="1"/>
        <v>A92BC1</v>
      </c>
      <c r="V24">
        <v>0</v>
      </c>
      <c r="W24">
        <v>0</v>
      </c>
      <c r="X24">
        <v>2</v>
      </c>
      <c r="Z24">
        <v>0</v>
      </c>
      <c r="AA24">
        <v>9</v>
      </c>
      <c r="AB24">
        <v>3</v>
      </c>
      <c r="AC24">
        <v>0</v>
      </c>
      <c r="AD24">
        <v>10</v>
      </c>
      <c r="AE24">
        <v>0</v>
      </c>
      <c r="AF24">
        <v>0</v>
      </c>
      <c r="AG24">
        <v>2</v>
      </c>
      <c r="AH24">
        <v>0</v>
      </c>
      <c r="AI24" t="s">
        <v>140</v>
      </c>
      <c r="AJ24">
        <v>45.630276000000002</v>
      </c>
      <c r="AK24" t="s">
        <v>141</v>
      </c>
      <c r="AL24">
        <v>-89.484887000000001</v>
      </c>
      <c r="AM24">
        <v>100</v>
      </c>
      <c r="AN24">
        <v>1800</v>
      </c>
      <c r="AO24" t="s">
        <v>118</v>
      </c>
      <c r="AP24">
        <v>-140</v>
      </c>
      <c r="AQ24">
        <v>-4</v>
      </c>
      <c r="AR24">
        <v>2304</v>
      </c>
      <c r="AZ24">
        <v>1200</v>
      </c>
      <c r="BA24">
        <v>1</v>
      </c>
      <c r="BB24" t="str">
        <f t="shared" si="4"/>
        <v xml:space="preserve">N690LS  </v>
      </c>
      <c r="BC24">
        <v>1</v>
      </c>
      <c r="BE24">
        <v>0</v>
      </c>
      <c r="BF24">
        <v>0</v>
      </c>
      <c r="BG24">
        <v>0</v>
      </c>
      <c r="BH24">
        <v>1800</v>
      </c>
      <c r="BI24">
        <v>1</v>
      </c>
      <c r="BJ24">
        <v>1</v>
      </c>
      <c r="BK24">
        <v>1</v>
      </c>
      <c r="BL24">
        <v>0</v>
      </c>
      <c r="BO24">
        <v>0</v>
      </c>
      <c r="BP24">
        <v>0</v>
      </c>
      <c r="BW24" t="str">
        <f>"13:50:40.263"</f>
        <v>13:50:40.263</v>
      </c>
      <c r="CJ24">
        <v>0</v>
      </c>
      <c r="CK24">
        <v>2</v>
      </c>
      <c r="CL24">
        <v>0</v>
      </c>
      <c r="CM24">
        <v>2</v>
      </c>
      <c r="CN24">
        <v>0</v>
      </c>
      <c r="CO24">
        <v>1</v>
      </c>
      <c r="CP24" t="s">
        <v>119</v>
      </c>
      <c r="CQ24">
        <v>209</v>
      </c>
      <c r="CR24">
        <v>3</v>
      </c>
      <c r="CW24">
        <v>7113480</v>
      </c>
      <c r="CY24">
        <v>0</v>
      </c>
      <c r="CZ24">
        <v>0</v>
      </c>
      <c r="DA24">
        <v>1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  <c r="DI24">
        <v>0</v>
      </c>
    </row>
    <row r="25" spans="1:113" x14ac:dyDescent="0.3">
      <c r="A25" t="str">
        <f>"09/28/2021 13:50:41.401"</f>
        <v>09/28/2021 13:50:41.401</v>
      </c>
      <c r="C25" t="str">
        <f t="shared" si="3"/>
        <v>FFDFD3C0</v>
      </c>
      <c r="D25" t="s">
        <v>113</v>
      </c>
      <c r="E25">
        <v>7</v>
      </c>
      <c r="H25">
        <v>170</v>
      </c>
      <c r="I25" t="s">
        <v>114</v>
      </c>
      <c r="J25" t="s">
        <v>115</v>
      </c>
      <c r="K25">
        <v>0</v>
      </c>
      <c r="L25">
        <v>3</v>
      </c>
      <c r="M25">
        <v>0</v>
      </c>
      <c r="N25">
        <v>2</v>
      </c>
      <c r="O25">
        <v>1</v>
      </c>
      <c r="P25">
        <v>0</v>
      </c>
      <c r="Q25">
        <v>0</v>
      </c>
      <c r="S25" t="str">
        <f>"13:50:41.164"</f>
        <v>13:50:41.164</v>
      </c>
      <c r="T25" t="str">
        <f>"13:50:40.764"</f>
        <v>13:50:40.764</v>
      </c>
      <c r="U25" t="str">
        <f t="shared" si="1"/>
        <v>A92BC1</v>
      </c>
      <c r="V25">
        <v>0</v>
      </c>
      <c r="W25">
        <v>0</v>
      </c>
      <c r="X25">
        <v>2</v>
      </c>
      <c r="Z25">
        <v>0</v>
      </c>
      <c r="AA25">
        <v>9</v>
      </c>
      <c r="AB25">
        <v>3</v>
      </c>
      <c r="AC25">
        <v>0</v>
      </c>
      <c r="AD25">
        <v>10</v>
      </c>
      <c r="AE25">
        <v>0</v>
      </c>
      <c r="AF25">
        <v>0</v>
      </c>
      <c r="AG25">
        <v>2</v>
      </c>
      <c r="AH25">
        <v>0</v>
      </c>
      <c r="AI25" t="s">
        <v>142</v>
      </c>
      <c r="AJ25">
        <v>45.630298000000003</v>
      </c>
      <c r="AK25" t="s">
        <v>143</v>
      </c>
      <c r="AL25">
        <v>-89.485724000000005</v>
      </c>
      <c r="AM25">
        <v>100</v>
      </c>
      <c r="AN25">
        <v>1900</v>
      </c>
      <c r="AO25" t="s">
        <v>118</v>
      </c>
      <c r="AP25">
        <v>-140</v>
      </c>
      <c r="AQ25">
        <v>-4</v>
      </c>
      <c r="AR25">
        <v>2432</v>
      </c>
      <c r="AZ25">
        <v>1200</v>
      </c>
      <c r="BA25">
        <v>1</v>
      </c>
      <c r="BB25" t="str">
        <f t="shared" si="4"/>
        <v xml:space="preserve">N690LS  </v>
      </c>
      <c r="BC25">
        <v>1</v>
      </c>
      <c r="BE25">
        <v>0</v>
      </c>
      <c r="BF25">
        <v>0</v>
      </c>
      <c r="BG25">
        <v>0</v>
      </c>
      <c r="BH25">
        <v>1850</v>
      </c>
      <c r="BI25">
        <v>1</v>
      </c>
      <c r="BJ25">
        <v>1</v>
      </c>
      <c r="BK25">
        <v>1</v>
      </c>
      <c r="BL25">
        <v>0</v>
      </c>
      <c r="BO25">
        <v>0</v>
      </c>
      <c r="BP25">
        <v>0</v>
      </c>
      <c r="BW25" t="str">
        <f>"13:50:41.168"</f>
        <v>13:50:41.168</v>
      </c>
      <c r="CJ25">
        <v>0</v>
      </c>
      <c r="CK25">
        <v>2</v>
      </c>
      <c r="CL25">
        <v>0</v>
      </c>
      <c r="CM25">
        <v>2</v>
      </c>
      <c r="CN25">
        <v>0</v>
      </c>
      <c r="CO25">
        <v>2</v>
      </c>
      <c r="CP25" t="s">
        <v>119</v>
      </c>
      <c r="CQ25">
        <v>209</v>
      </c>
      <c r="CR25">
        <v>3</v>
      </c>
      <c r="CW25">
        <v>7113764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0</v>
      </c>
      <c r="DG25">
        <v>0</v>
      </c>
      <c r="DH25">
        <v>0</v>
      </c>
      <c r="DI25">
        <v>0</v>
      </c>
    </row>
    <row r="26" spans="1:113" x14ac:dyDescent="0.3">
      <c r="A26" t="str">
        <f>"09/28/2021 13:50:41.385"</f>
        <v>09/28/2021 13:50:41.385</v>
      </c>
      <c r="C26" t="str">
        <f t="shared" si="3"/>
        <v>FFDFD3C0</v>
      </c>
      <c r="D26" t="s">
        <v>120</v>
      </c>
      <c r="E26">
        <v>12</v>
      </c>
      <c r="F26">
        <v>1012</v>
      </c>
      <c r="G26" t="s">
        <v>114</v>
      </c>
      <c r="J26" t="s">
        <v>121</v>
      </c>
      <c r="K26">
        <v>0</v>
      </c>
      <c r="L26">
        <v>3</v>
      </c>
      <c r="M26">
        <v>0</v>
      </c>
      <c r="N26">
        <v>2</v>
      </c>
      <c r="O26">
        <v>1</v>
      </c>
      <c r="P26">
        <v>0</v>
      </c>
      <c r="Q26">
        <v>0</v>
      </c>
      <c r="S26" t="str">
        <f>"13:50:41.164"</f>
        <v>13:50:41.164</v>
      </c>
      <c r="T26" t="str">
        <f>"13:50:40.764"</f>
        <v>13:50:40.764</v>
      </c>
      <c r="U26" t="str">
        <f t="shared" si="1"/>
        <v>A92BC1</v>
      </c>
      <c r="V26">
        <v>0</v>
      </c>
      <c r="W26">
        <v>0</v>
      </c>
      <c r="X26">
        <v>2</v>
      </c>
      <c r="Z26">
        <v>0</v>
      </c>
      <c r="AA26">
        <v>9</v>
      </c>
      <c r="AB26">
        <v>3</v>
      </c>
      <c r="AC26">
        <v>0</v>
      </c>
      <c r="AD26">
        <v>10</v>
      </c>
      <c r="AE26">
        <v>0</v>
      </c>
      <c r="AF26">
        <v>0</v>
      </c>
      <c r="AG26">
        <v>2</v>
      </c>
      <c r="AH26">
        <v>0</v>
      </c>
      <c r="AI26" t="s">
        <v>142</v>
      </c>
      <c r="AJ26">
        <v>45.630298000000003</v>
      </c>
      <c r="AK26" t="s">
        <v>143</v>
      </c>
      <c r="AL26">
        <v>-89.485724000000005</v>
      </c>
      <c r="AM26">
        <v>100</v>
      </c>
      <c r="AN26">
        <v>1900</v>
      </c>
      <c r="AO26" t="s">
        <v>118</v>
      </c>
      <c r="AP26">
        <v>-140</v>
      </c>
      <c r="AQ26">
        <v>-4</v>
      </c>
      <c r="AR26">
        <v>2432</v>
      </c>
      <c r="AZ26">
        <v>1200</v>
      </c>
      <c r="BA26">
        <v>1</v>
      </c>
      <c r="BB26" t="str">
        <f t="shared" si="4"/>
        <v xml:space="preserve">N690LS  </v>
      </c>
      <c r="BC26">
        <v>1</v>
      </c>
      <c r="BE26">
        <v>0</v>
      </c>
      <c r="BF26">
        <v>0</v>
      </c>
      <c r="BG26">
        <v>0</v>
      </c>
      <c r="BH26">
        <v>1850</v>
      </c>
      <c r="BI26">
        <v>1</v>
      </c>
      <c r="BJ26">
        <v>1</v>
      </c>
      <c r="BK26">
        <v>1</v>
      </c>
      <c r="BL26">
        <v>0</v>
      </c>
      <c r="BO26">
        <v>0</v>
      </c>
      <c r="BP26">
        <v>0</v>
      </c>
      <c r="BW26" t="str">
        <f>"13:50:41.168"</f>
        <v>13:50:41.168</v>
      </c>
      <c r="CJ26">
        <v>0</v>
      </c>
      <c r="CK26">
        <v>2</v>
      </c>
      <c r="CL26">
        <v>0</v>
      </c>
      <c r="CM26">
        <v>2</v>
      </c>
      <c r="CN26">
        <v>0</v>
      </c>
      <c r="CO26">
        <v>2</v>
      </c>
      <c r="CP26" t="s">
        <v>119</v>
      </c>
      <c r="CQ26">
        <v>209</v>
      </c>
      <c r="CR26">
        <v>3</v>
      </c>
      <c r="CW26">
        <v>7113764</v>
      </c>
      <c r="CY26">
        <v>0</v>
      </c>
      <c r="CZ26">
        <v>0</v>
      </c>
      <c r="DA26">
        <v>1</v>
      </c>
      <c r="DB26">
        <v>0</v>
      </c>
      <c r="DC26">
        <v>0</v>
      </c>
      <c r="DD26">
        <v>0</v>
      </c>
      <c r="DE26">
        <v>0</v>
      </c>
      <c r="DF26">
        <v>0</v>
      </c>
      <c r="DG26">
        <v>0</v>
      </c>
      <c r="DH26">
        <v>0</v>
      </c>
      <c r="DI26">
        <v>0</v>
      </c>
    </row>
    <row r="27" spans="1:113" x14ac:dyDescent="0.3">
      <c r="A27" t="str">
        <f>"09/28/2021 13:50:42.243"</f>
        <v>09/28/2021 13:50:42.243</v>
      </c>
      <c r="C27" t="str">
        <f t="shared" si="3"/>
        <v>FFDFD3C0</v>
      </c>
      <c r="D27" t="s">
        <v>120</v>
      </c>
      <c r="E27">
        <v>12</v>
      </c>
      <c r="F27">
        <v>1012</v>
      </c>
      <c r="G27" t="s">
        <v>114</v>
      </c>
      <c r="J27" t="s">
        <v>121</v>
      </c>
      <c r="K27">
        <v>0</v>
      </c>
      <c r="L27">
        <v>3</v>
      </c>
      <c r="M27">
        <v>0</v>
      </c>
      <c r="N27">
        <v>2</v>
      </c>
      <c r="O27">
        <v>1</v>
      </c>
      <c r="P27">
        <v>0</v>
      </c>
      <c r="Q27">
        <v>0</v>
      </c>
      <c r="S27" t="str">
        <f>"13:50:42.008"</f>
        <v>13:50:42.008</v>
      </c>
      <c r="T27" t="str">
        <f>"13:50:41.608"</f>
        <v>13:50:41.608</v>
      </c>
      <c r="U27" t="str">
        <f t="shared" si="1"/>
        <v>A92BC1</v>
      </c>
      <c r="V27">
        <v>0</v>
      </c>
      <c r="W27">
        <v>0</v>
      </c>
      <c r="X27">
        <v>2</v>
      </c>
      <c r="Z27">
        <v>0</v>
      </c>
      <c r="AA27">
        <v>9</v>
      </c>
      <c r="AB27">
        <v>3</v>
      </c>
      <c r="AC27">
        <v>0</v>
      </c>
      <c r="AD27">
        <v>10</v>
      </c>
      <c r="AE27">
        <v>0</v>
      </c>
      <c r="AF27">
        <v>0</v>
      </c>
      <c r="AG27">
        <v>2</v>
      </c>
      <c r="AH27">
        <v>0</v>
      </c>
      <c r="AI27" t="s">
        <v>144</v>
      </c>
      <c r="AJ27">
        <v>45.630254999999998</v>
      </c>
      <c r="AK27" t="s">
        <v>145</v>
      </c>
      <c r="AL27">
        <v>-89.486453999999995</v>
      </c>
      <c r="AM27">
        <v>100</v>
      </c>
      <c r="AN27">
        <v>1900</v>
      </c>
      <c r="AO27" t="s">
        <v>118</v>
      </c>
      <c r="AP27">
        <v>-140</v>
      </c>
      <c r="AQ27">
        <v>-3</v>
      </c>
      <c r="AR27">
        <v>2496</v>
      </c>
      <c r="AZ27">
        <v>1200</v>
      </c>
      <c r="BA27">
        <v>1</v>
      </c>
      <c r="BB27" t="str">
        <f t="shared" si="4"/>
        <v xml:space="preserve">N690LS  </v>
      </c>
      <c r="BC27">
        <v>1</v>
      </c>
      <c r="BE27">
        <v>0</v>
      </c>
      <c r="BF27">
        <v>0</v>
      </c>
      <c r="BG27">
        <v>0</v>
      </c>
      <c r="BH27">
        <v>1875</v>
      </c>
      <c r="BI27">
        <v>1</v>
      </c>
      <c r="BJ27">
        <v>1</v>
      </c>
      <c r="BK27">
        <v>1</v>
      </c>
      <c r="BL27">
        <v>0</v>
      </c>
      <c r="BO27">
        <v>0</v>
      </c>
      <c r="BP27">
        <v>0</v>
      </c>
      <c r="BW27" t="str">
        <f>"13:50:42.011"</f>
        <v>13:50:42.011</v>
      </c>
      <c r="CJ27">
        <v>0</v>
      </c>
      <c r="CK27">
        <v>2</v>
      </c>
      <c r="CL27">
        <v>0</v>
      </c>
      <c r="CM27">
        <v>2</v>
      </c>
      <c r="CN27">
        <v>0</v>
      </c>
      <c r="CO27">
        <v>7</v>
      </c>
      <c r="CP27" t="s">
        <v>119</v>
      </c>
      <c r="CQ27">
        <v>197</v>
      </c>
      <c r="CR27">
        <v>2</v>
      </c>
      <c r="CW27">
        <v>2099249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</row>
    <row r="28" spans="1:113" x14ac:dyDescent="0.3">
      <c r="A28" t="str">
        <f>"09/28/2021 13:50:42.243"</f>
        <v>09/28/2021 13:50:42.243</v>
      </c>
      <c r="C28" t="str">
        <f t="shared" si="3"/>
        <v>FFDFD3C0</v>
      </c>
      <c r="D28" t="s">
        <v>113</v>
      </c>
      <c r="E28">
        <v>7</v>
      </c>
      <c r="H28">
        <v>170</v>
      </c>
      <c r="I28" t="s">
        <v>114</v>
      </c>
      <c r="J28" t="s">
        <v>115</v>
      </c>
      <c r="K28">
        <v>0</v>
      </c>
      <c r="L28">
        <v>3</v>
      </c>
      <c r="M28">
        <v>0</v>
      </c>
      <c r="N28">
        <v>2</v>
      </c>
      <c r="O28">
        <v>1</v>
      </c>
      <c r="P28">
        <v>0</v>
      </c>
      <c r="Q28">
        <v>0</v>
      </c>
      <c r="S28" t="str">
        <f>"13:50:42.008"</f>
        <v>13:50:42.008</v>
      </c>
      <c r="T28" t="str">
        <f>"13:50:41.608"</f>
        <v>13:50:41.608</v>
      </c>
      <c r="U28" t="str">
        <f t="shared" si="1"/>
        <v>A92BC1</v>
      </c>
      <c r="V28">
        <v>0</v>
      </c>
      <c r="W28">
        <v>0</v>
      </c>
      <c r="X28">
        <v>2</v>
      </c>
      <c r="Z28">
        <v>0</v>
      </c>
      <c r="AA28">
        <v>9</v>
      </c>
      <c r="AB28">
        <v>3</v>
      </c>
      <c r="AC28">
        <v>0</v>
      </c>
      <c r="AD28">
        <v>10</v>
      </c>
      <c r="AE28">
        <v>0</v>
      </c>
      <c r="AF28">
        <v>0</v>
      </c>
      <c r="AG28">
        <v>2</v>
      </c>
      <c r="AH28">
        <v>0</v>
      </c>
      <c r="AI28" t="s">
        <v>144</v>
      </c>
      <c r="AJ28">
        <v>45.630254999999998</v>
      </c>
      <c r="AK28" t="s">
        <v>145</v>
      </c>
      <c r="AL28">
        <v>-89.486453999999995</v>
      </c>
      <c r="AM28">
        <v>100</v>
      </c>
      <c r="AN28">
        <v>1900</v>
      </c>
      <c r="AO28" t="s">
        <v>118</v>
      </c>
      <c r="AP28">
        <v>-140</v>
      </c>
      <c r="AQ28">
        <v>-3</v>
      </c>
      <c r="AR28">
        <v>2496</v>
      </c>
      <c r="AZ28">
        <v>1200</v>
      </c>
      <c r="BA28">
        <v>1</v>
      </c>
      <c r="BB28" t="str">
        <f t="shared" si="4"/>
        <v xml:space="preserve">N690LS  </v>
      </c>
      <c r="BC28">
        <v>1</v>
      </c>
      <c r="BE28">
        <v>0</v>
      </c>
      <c r="BF28">
        <v>0</v>
      </c>
      <c r="BG28">
        <v>0</v>
      </c>
      <c r="BH28">
        <v>1875</v>
      </c>
      <c r="BI28">
        <v>1</v>
      </c>
      <c r="BJ28">
        <v>1</v>
      </c>
      <c r="BK28">
        <v>1</v>
      </c>
      <c r="BL28">
        <v>0</v>
      </c>
      <c r="BO28">
        <v>0</v>
      </c>
      <c r="BP28">
        <v>0</v>
      </c>
      <c r="BW28" t="str">
        <f>"13:50:42.011"</f>
        <v>13:50:42.011</v>
      </c>
      <c r="CJ28">
        <v>0</v>
      </c>
      <c r="CK28">
        <v>2</v>
      </c>
      <c r="CL28">
        <v>0</v>
      </c>
      <c r="CM28">
        <v>2</v>
      </c>
      <c r="CN28">
        <v>0</v>
      </c>
      <c r="CO28">
        <v>7</v>
      </c>
      <c r="CP28" t="s">
        <v>119</v>
      </c>
      <c r="CQ28">
        <v>197</v>
      </c>
      <c r="CR28">
        <v>2</v>
      </c>
      <c r="CW28">
        <v>2099249</v>
      </c>
      <c r="CY28">
        <v>0</v>
      </c>
      <c r="CZ28">
        <v>0</v>
      </c>
      <c r="DA28">
        <v>1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</row>
    <row r="29" spans="1:113" x14ac:dyDescent="0.3">
      <c r="A29" t="str">
        <f>"09/28/2021 13:50:43.324"</f>
        <v>09/28/2021 13:50:43.324</v>
      </c>
      <c r="C29" t="str">
        <f t="shared" si="3"/>
        <v>FFDFD3C0</v>
      </c>
      <c r="D29" t="s">
        <v>120</v>
      </c>
      <c r="E29">
        <v>12</v>
      </c>
      <c r="F29">
        <v>1012</v>
      </c>
      <c r="G29" t="s">
        <v>114</v>
      </c>
      <c r="J29" t="s">
        <v>121</v>
      </c>
      <c r="K29">
        <v>0</v>
      </c>
      <c r="L29">
        <v>3</v>
      </c>
      <c r="M29">
        <v>0</v>
      </c>
      <c r="N29">
        <v>2</v>
      </c>
      <c r="O29">
        <v>1</v>
      </c>
      <c r="P29">
        <v>0</v>
      </c>
      <c r="Q29">
        <v>0</v>
      </c>
      <c r="S29" t="str">
        <f>"13:50:43.086"</f>
        <v>13:50:43.086</v>
      </c>
      <c r="T29" t="str">
        <f>"13:50:42.686"</f>
        <v>13:50:42.686</v>
      </c>
      <c r="U29" t="str">
        <f t="shared" si="1"/>
        <v>A92BC1</v>
      </c>
      <c r="V29">
        <v>0</v>
      </c>
      <c r="W29">
        <v>0</v>
      </c>
      <c r="X29">
        <v>2</v>
      </c>
      <c r="Z29">
        <v>0</v>
      </c>
      <c r="AA29">
        <v>9</v>
      </c>
      <c r="AB29">
        <v>3</v>
      </c>
      <c r="AC29">
        <v>0</v>
      </c>
      <c r="AD29">
        <v>10</v>
      </c>
      <c r="AE29">
        <v>0</v>
      </c>
      <c r="AF29">
        <v>0</v>
      </c>
      <c r="AG29">
        <v>2</v>
      </c>
      <c r="AH29">
        <v>0</v>
      </c>
      <c r="AI29" t="s">
        <v>140</v>
      </c>
      <c r="AJ29">
        <v>45.630276000000002</v>
      </c>
      <c r="AK29" t="s">
        <v>146</v>
      </c>
      <c r="AL29">
        <v>-89.487483999999995</v>
      </c>
      <c r="AM29">
        <v>100</v>
      </c>
      <c r="AN29">
        <v>1900</v>
      </c>
      <c r="AO29" t="s">
        <v>118</v>
      </c>
      <c r="AP29">
        <v>-140</v>
      </c>
      <c r="AQ29">
        <v>-2</v>
      </c>
      <c r="AR29">
        <v>2560</v>
      </c>
      <c r="AZ29">
        <v>1200</v>
      </c>
      <c r="BA29">
        <v>1</v>
      </c>
      <c r="BB29" t="str">
        <f t="shared" si="4"/>
        <v xml:space="preserve">N690LS  </v>
      </c>
      <c r="BC29">
        <v>1</v>
      </c>
      <c r="BE29">
        <v>0</v>
      </c>
      <c r="BF29">
        <v>0</v>
      </c>
      <c r="BG29">
        <v>0</v>
      </c>
      <c r="BH29">
        <v>1925</v>
      </c>
      <c r="BI29">
        <v>1</v>
      </c>
      <c r="BJ29">
        <v>1</v>
      </c>
      <c r="BK29">
        <v>1</v>
      </c>
      <c r="BL29">
        <v>0</v>
      </c>
      <c r="BO29">
        <v>0</v>
      </c>
      <c r="BP29">
        <v>0</v>
      </c>
      <c r="BW29" t="str">
        <f>"13:50:43.088"</f>
        <v>13:50:43.088</v>
      </c>
      <c r="CJ29">
        <v>0</v>
      </c>
      <c r="CK29">
        <v>2</v>
      </c>
      <c r="CL29">
        <v>0</v>
      </c>
      <c r="CM29">
        <v>2</v>
      </c>
      <c r="CN29">
        <v>0</v>
      </c>
      <c r="CO29">
        <v>7</v>
      </c>
      <c r="CP29" t="s">
        <v>119</v>
      </c>
      <c r="CQ29">
        <v>197</v>
      </c>
      <c r="CR29">
        <v>2</v>
      </c>
      <c r="CW29">
        <v>2100309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  <c r="DI29">
        <v>0</v>
      </c>
    </row>
    <row r="30" spans="1:113" x14ac:dyDescent="0.3">
      <c r="A30" t="str">
        <f>"09/28/2021 13:50:43.355"</f>
        <v>09/28/2021 13:50:43.355</v>
      </c>
      <c r="C30" t="str">
        <f t="shared" si="3"/>
        <v>FFDFD3C0</v>
      </c>
      <c r="D30" t="s">
        <v>113</v>
      </c>
      <c r="E30">
        <v>7</v>
      </c>
      <c r="H30">
        <v>170</v>
      </c>
      <c r="I30" t="s">
        <v>114</v>
      </c>
      <c r="J30" t="s">
        <v>115</v>
      </c>
      <c r="K30">
        <v>0</v>
      </c>
      <c r="L30">
        <v>3</v>
      </c>
      <c r="M30">
        <v>0</v>
      </c>
      <c r="N30">
        <v>2</v>
      </c>
      <c r="O30">
        <v>1</v>
      </c>
      <c r="P30">
        <v>0</v>
      </c>
      <c r="Q30">
        <v>0</v>
      </c>
      <c r="S30" t="str">
        <f>"13:50:43.086"</f>
        <v>13:50:43.086</v>
      </c>
      <c r="T30" t="str">
        <f>"13:50:42.686"</f>
        <v>13:50:42.686</v>
      </c>
      <c r="U30" t="str">
        <f t="shared" si="1"/>
        <v>A92BC1</v>
      </c>
      <c r="V30">
        <v>0</v>
      </c>
      <c r="W30">
        <v>0</v>
      </c>
      <c r="X30">
        <v>2</v>
      </c>
      <c r="Z30">
        <v>0</v>
      </c>
      <c r="AA30">
        <v>9</v>
      </c>
      <c r="AB30">
        <v>3</v>
      </c>
      <c r="AC30">
        <v>0</v>
      </c>
      <c r="AD30">
        <v>10</v>
      </c>
      <c r="AE30">
        <v>0</v>
      </c>
      <c r="AF30">
        <v>0</v>
      </c>
      <c r="AG30">
        <v>2</v>
      </c>
      <c r="AH30">
        <v>0</v>
      </c>
      <c r="AI30" t="s">
        <v>140</v>
      </c>
      <c r="AJ30">
        <v>45.630276000000002</v>
      </c>
      <c r="AK30" t="s">
        <v>146</v>
      </c>
      <c r="AL30">
        <v>-89.487483999999995</v>
      </c>
      <c r="AM30">
        <v>100</v>
      </c>
      <c r="AN30">
        <v>1900</v>
      </c>
      <c r="AO30" t="s">
        <v>118</v>
      </c>
      <c r="AP30">
        <v>-140</v>
      </c>
      <c r="AQ30">
        <v>-2</v>
      </c>
      <c r="AR30">
        <v>2560</v>
      </c>
      <c r="AZ30">
        <v>1200</v>
      </c>
      <c r="BA30">
        <v>1</v>
      </c>
      <c r="BB30" t="str">
        <f t="shared" si="4"/>
        <v xml:space="preserve">N690LS  </v>
      </c>
      <c r="BC30">
        <v>1</v>
      </c>
      <c r="BE30">
        <v>0</v>
      </c>
      <c r="BF30">
        <v>0</v>
      </c>
      <c r="BG30">
        <v>0</v>
      </c>
      <c r="BH30">
        <v>1925</v>
      </c>
      <c r="BI30">
        <v>1</v>
      </c>
      <c r="BJ30">
        <v>1</v>
      </c>
      <c r="BK30">
        <v>1</v>
      </c>
      <c r="BL30">
        <v>0</v>
      </c>
      <c r="BO30">
        <v>0</v>
      </c>
      <c r="BP30">
        <v>0</v>
      </c>
      <c r="BW30" t="str">
        <f>"13:50:43.088"</f>
        <v>13:50:43.088</v>
      </c>
      <c r="CJ30">
        <v>0</v>
      </c>
      <c r="CK30">
        <v>2</v>
      </c>
      <c r="CL30">
        <v>0</v>
      </c>
      <c r="CM30">
        <v>2</v>
      </c>
      <c r="CN30">
        <v>0</v>
      </c>
      <c r="CO30">
        <v>7</v>
      </c>
      <c r="CP30" t="s">
        <v>119</v>
      </c>
      <c r="CQ30">
        <v>197</v>
      </c>
      <c r="CR30">
        <v>2</v>
      </c>
      <c r="CW30">
        <v>2100309</v>
      </c>
      <c r="CY30">
        <v>0</v>
      </c>
      <c r="CZ30">
        <v>0</v>
      </c>
      <c r="DA30">
        <v>1</v>
      </c>
      <c r="DB30">
        <v>0</v>
      </c>
      <c r="DC30">
        <v>0</v>
      </c>
      <c r="DD30">
        <v>0</v>
      </c>
      <c r="DE30">
        <v>0</v>
      </c>
      <c r="DF30">
        <v>0</v>
      </c>
      <c r="DG30">
        <v>0</v>
      </c>
      <c r="DH30">
        <v>0</v>
      </c>
      <c r="DI30">
        <v>0</v>
      </c>
    </row>
    <row r="31" spans="1:113" x14ac:dyDescent="0.3">
      <c r="A31" t="str">
        <f>"09/28/2021 13:50:44.248"</f>
        <v>09/28/2021 13:50:44.248</v>
      </c>
      <c r="C31" t="str">
        <f t="shared" si="3"/>
        <v>FFDFD3C0</v>
      </c>
      <c r="D31" t="s">
        <v>120</v>
      </c>
      <c r="E31">
        <v>12</v>
      </c>
      <c r="F31">
        <v>1012</v>
      </c>
      <c r="G31" t="s">
        <v>114</v>
      </c>
      <c r="J31" t="s">
        <v>121</v>
      </c>
      <c r="K31">
        <v>0</v>
      </c>
      <c r="L31">
        <v>3</v>
      </c>
      <c r="M31">
        <v>0</v>
      </c>
      <c r="N31">
        <v>2</v>
      </c>
      <c r="O31">
        <v>1</v>
      </c>
      <c r="P31">
        <v>0</v>
      </c>
      <c r="Q31">
        <v>0</v>
      </c>
      <c r="S31" t="str">
        <f>"13:50:44.031"</f>
        <v>13:50:44.031</v>
      </c>
      <c r="T31" t="str">
        <f>"13:50:43.631"</f>
        <v>13:50:43.631</v>
      </c>
      <c r="U31" t="str">
        <f t="shared" si="1"/>
        <v>A92BC1</v>
      </c>
      <c r="V31">
        <v>0</v>
      </c>
      <c r="W31">
        <v>0</v>
      </c>
      <c r="X31">
        <v>2</v>
      </c>
      <c r="Z31">
        <v>0</v>
      </c>
      <c r="AA31">
        <v>9</v>
      </c>
      <c r="AB31">
        <v>3</v>
      </c>
      <c r="AC31">
        <v>0</v>
      </c>
      <c r="AD31">
        <v>10</v>
      </c>
      <c r="AE31">
        <v>0</v>
      </c>
      <c r="AF31">
        <v>0</v>
      </c>
      <c r="AG31">
        <v>2</v>
      </c>
      <c r="AH31">
        <v>0</v>
      </c>
      <c r="AI31" t="s">
        <v>140</v>
      </c>
      <c r="AJ31">
        <v>45.630276000000002</v>
      </c>
      <c r="AK31" t="s">
        <v>147</v>
      </c>
      <c r="AL31">
        <v>-89.488384999999994</v>
      </c>
      <c r="AM31">
        <v>100</v>
      </c>
      <c r="AN31">
        <v>2000</v>
      </c>
      <c r="AO31" t="s">
        <v>118</v>
      </c>
      <c r="AP31">
        <v>-139</v>
      </c>
      <c r="AQ31">
        <v>-1</v>
      </c>
      <c r="AR31">
        <v>2624</v>
      </c>
      <c r="AZ31">
        <v>1200</v>
      </c>
      <c r="BA31">
        <v>1</v>
      </c>
      <c r="BB31" t="str">
        <f t="shared" si="4"/>
        <v xml:space="preserve">N690LS  </v>
      </c>
      <c r="BC31">
        <v>1</v>
      </c>
      <c r="BE31">
        <v>0</v>
      </c>
      <c r="BF31">
        <v>0</v>
      </c>
      <c r="BG31">
        <v>0</v>
      </c>
      <c r="BH31">
        <v>1975</v>
      </c>
      <c r="BI31">
        <v>1</v>
      </c>
      <c r="BJ31">
        <v>1</v>
      </c>
      <c r="BK31">
        <v>1</v>
      </c>
      <c r="BL31">
        <v>0</v>
      </c>
      <c r="BO31">
        <v>0</v>
      </c>
      <c r="BP31">
        <v>0</v>
      </c>
      <c r="BW31" t="str">
        <f>"13:50:44.033"</f>
        <v>13:50:44.033</v>
      </c>
      <c r="CJ31">
        <v>0</v>
      </c>
      <c r="CK31">
        <v>2</v>
      </c>
      <c r="CL31">
        <v>0</v>
      </c>
      <c r="CM31">
        <v>2</v>
      </c>
      <c r="CN31">
        <v>0</v>
      </c>
      <c r="CO31">
        <v>4</v>
      </c>
      <c r="CP31" t="s">
        <v>119</v>
      </c>
      <c r="CQ31">
        <v>209</v>
      </c>
      <c r="CR31">
        <v>3</v>
      </c>
      <c r="CW31">
        <v>7114652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  <c r="DH31">
        <v>0</v>
      </c>
      <c r="DI31">
        <v>0</v>
      </c>
    </row>
    <row r="32" spans="1:113" x14ac:dyDescent="0.3">
      <c r="A32" t="str">
        <f>"09/28/2021 13:50:44.341"</f>
        <v>09/28/2021 13:50:44.341</v>
      </c>
      <c r="C32" t="str">
        <f t="shared" si="3"/>
        <v>FFDFD3C0</v>
      </c>
      <c r="D32" t="s">
        <v>113</v>
      </c>
      <c r="E32">
        <v>7</v>
      </c>
      <c r="H32">
        <v>170</v>
      </c>
      <c r="I32" t="s">
        <v>114</v>
      </c>
      <c r="J32" t="s">
        <v>115</v>
      </c>
      <c r="K32">
        <v>0</v>
      </c>
      <c r="L32">
        <v>3</v>
      </c>
      <c r="M32">
        <v>0</v>
      </c>
      <c r="N32">
        <v>2</v>
      </c>
      <c r="O32">
        <v>1</v>
      </c>
      <c r="P32">
        <v>0</v>
      </c>
      <c r="Q32">
        <v>0</v>
      </c>
      <c r="S32" t="str">
        <f>"13:50:44.031"</f>
        <v>13:50:44.031</v>
      </c>
      <c r="T32" t="str">
        <f>"13:50:43.631"</f>
        <v>13:50:43.631</v>
      </c>
      <c r="U32" t="str">
        <f t="shared" si="1"/>
        <v>A92BC1</v>
      </c>
      <c r="V32">
        <v>0</v>
      </c>
      <c r="W32">
        <v>0</v>
      </c>
      <c r="X32">
        <v>2</v>
      </c>
      <c r="Z32">
        <v>0</v>
      </c>
      <c r="AA32">
        <v>9</v>
      </c>
      <c r="AB32">
        <v>3</v>
      </c>
      <c r="AC32">
        <v>0</v>
      </c>
      <c r="AD32">
        <v>10</v>
      </c>
      <c r="AE32">
        <v>0</v>
      </c>
      <c r="AF32">
        <v>0</v>
      </c>
      <c r="AG32">
        <v>2</v>
      </c>
      <c r="AH32">
        <v>0</v>
      </c>
      <c r="AI32" t="s">
        <v>140</v>
      </c>
      <c r="AJ32">
        <v>45.630276000000002</v>
      </c>
      <c r="AK32" t="s">
        <v>147</v>
      </c>
      <c r="AL32">
        <v>-89.488384999999994</v>
      </c>
      <c r="AM32">
        <v>100</v>
      </c>
      <c r="AN32">
        <v>2000</v>
      </c>
      <c r="AO32" t="s">
        <v>118</v>
      </c>
      <c r="AP32">
        <v>-139</v>
      </c>
      <c r="AQ32">
        <v>-1</v>
      </c>
      <c r="AR32">
        <v>2624</v>
      </c>
      <c r="AZ32">
        <v>1200</v>
      </c>
      <c r="BA32">
        <v>1</v>
      </c>
      <c r="BB32" t="str">
        <f t="shared" si="4"/>
        <v xml:space="preserve">N690LS  </v>
      </c>
      <c r="BC32">
        <v>1</v>
      </c>
      <c r="BE32">
        <v>0</v>
      </c>
      <c r="BF32">
        <v>0</v>
      </c>
      <c r="BG32">
        <v>0</v>
      </c>
      <c r="BH32">
        <v>1975</v>
      </c>
      <c r="BI32">
        <v>1</v>
      </c>
      <c r="BJ32">
        <v>1</v>
      </c>
      <c r="BK32">
        <v>1</v>
      </c>
      <c r="BL32">
        <v>0</v>
      </c>
      <c r="BO32">
        <v>0</v>
      </c>
      <c r="BP32">
        <v>0</v>
      </c>
      <c r="BW32" t="str">
        <f>"13:50:44.033"</f>
        <v>13:50:44.033</v>
      </c>
      <c r="CJ32">
        <v>0</v>
      </c>
      <c r="CK32">
        <v>2</v>
      </c>
      <c r="CL32">
        <v>0</v>
      </c>
      <c r="CM32">
        <v>2</v>
      </c>
      <c r="CN32">
        <v>0</v>
      </c>
      <c r="CO32">
        <v>4</v>
      </c>
      <c r="CP32" t="s">
        <v>119</v>
      </c>
      <c r="CQ32">
        <v>209</v>
      </c>
      <c r="CR32">
        <v>3</v>
      </c>
      <c r="CW32">
        <v>7114652</v>
      </c>
      <c r="CY32">
        <v>0</v>
      </c>
      <c r="CZ32">
        <v>0</v>
      </c>
      <c r="DA32">
        <v>1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0</v>
      </c>
      <c r="DI32">
        <v>0</v>
      </c>
    </row>
    <row r="33" spans="1:113" x14ac:dyDescent="0.3">
      <c r="A33" t="str">
        <f>"09/28/2021 13:50:45.123"</f>
        <v>09/28/2021 13:50:45.123</v>
      </c>
      <c r="C33" t="str">
        <f t="shared" si="3"/>
        <v>FFDFD3C0</v>
      </c>
      <c r="D33" t="s">
        <v>120</v>
      </c>
      <c r="E33">
        <v>12</v>
      </c>
      <c r="F33">
        <v>1012</v>
      </c>
      <c r="G33" t="s">
        <v>114</v>
      </c>
      <c r="J33" t="s">
        <v>121</v>
      </c>
      <c r="K33">
        <v>0</v>
      </c>
      <c r="L33">
        <v>3</v>
      </c>
      <c r="M33">
        <v>0</v>
      </c>
      <c r="N33">
        <v>2</v>
      </c>
      <c r="O33">
        <v>1</v>
      </c>
      <c r="P33">
        <v>0</v>
      </c>
      <c r="Q33">
        <v>0</v>
      </c>
      <c r="S33" t="str">
        <f>"13:50:44.914"</f>
        <v>13:50:44.914</v>
      </c>
      <c r="T33" t="str">
        <f>"13:50:44.514"</f>
        <v>13:50:44.514</v>
      </c>
      <c r="U33" t="str">
        <f t="shared" si="1"/>
        <v>A92BC1</v>
      </c>
      <c r="V33">
        <v>0</v>
      </c>
      <c r="W33">
        <v>0</v>
      </c>
      <c r="X33">
        <v>2</v>
      </c>
      <c r="Z33">
        <v>0</v>
      </c>
      <c r="AA33">
        <v>9</v>
      </c>
      <c r="AB33">
        <v>3</v>
      </c>
      <c r="AC33">
        <v>0</v>
      </c>
      <c r="AD33">
        <v>10</v>
      </c>
      <c r="AE33">
        <v>0</v>
      </c>
      <c r="AF33">
        <v>0</v>
      </c>
      <c r="AG33">
        <v>2</v>
      </c>
      <c r="AH33">
        <v>0</v>
      </c>
      <c r="AI33" t="s">
        <v>144</v>
      </c>
      <c r="AJ33">
        <v>45.630254999999998</v>
      </c>
      <c r="AK33" t="s">
        <v>148</v>
      </c>
      <c r="AL33">
        <v>-89.489199999999997</v>
      </c>
      <c r="AM33">
        <v>100</v>
      </c>
      <c r="AN33">
        <v>2000</v>
      </c>
      <c r="AO33" t="s">
        <v>118</v>
      </c>
      <c r="AP33">
        <v>-139</v>
      </c>
      <c r="AQ33">
        <v>0</v>
      </c>
      <c r="AR33">
        <v>2624</v>
      </c>
      <c r="AZ33">
        <v>1200</v>
      </c>
      <c r="BA33">
        <v>1</v>
      </c>
      <c r="BB33" t="str">
        <f t="shared" si="4"/>
        <v xml:space="preserve">N690LS  </v>
      </c>
      <c r="BC33">
        <v>1</v>
      </c>
      <c r="BE33">
        <v>0</v>
      </c>
      <c r="BF33">
        <v>0</v>
      </c>
      <c r="BG33">
        <v>0</v>
      </c>
      <c r="BH33">
        <v>2025</v>
      </c>
      <c r="BI33">
        <v>1</v>
      </c>
      <c r="BJ33">
        <v>1</v>
      </c>
      <c r="BK33">
        <v>1</v>
      </c>
      <c r="BL33">
        <v>0</v>
      </c>
      <c r="BO33">
        <v>0</v>
      </c>
      <c r="BP33">
        <v>0</v>
      </c>
      <c r="BW33" t="str">
        <f>"13:50:44.920"</f>
        <v>13:50:44.920</v>
      </c>
      <c r="CJ33">
        <v>0</v>
      </c>
      <c r="CK33">
        <v>2</v>
      </c>
      <c r="CL33">
        <v>0</v>
      </c>
      <c r="CM33">
        <v>2</v>
      </c>
      <c r="CN33">
        <v>0</v>
      </c>
      <c r="CO33">
        <v>1</v>
      </c>
      <c r="CP33" t="s">
        <v>119</v>
      </c>
      <c r="CQ33">
        <v>209</v>
      </c>
      <c r="CR33">
        <v>3</v>
      </c>
      <c r="CW33">
        <v>7114899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</row>
    <row r="34" spans="1:113" x14ac:dyDescent="0.3">
      <c r="A34" t="str">
        <f>"09/28/2021 13:50:45.154"</f>
        <v>09/28/2021 13:50:45.154</v>
      </c>
      <c r="C34" t="str">
        <f t="shared" si="3"/>
        <v>FFDFD3C0</v>
      </c>
      <c r="D34" t="s">
        <v>113</v>
      </c>
      <c r="E34">
        <v>7</v>
      </c>
      <c r="H34">
        <v>170</v>
      </c>
      <c r="I34" t="s">
        <v>114</v>
      </c>
      <c r="J34" t="s">
        <v>115</v>
      </c>
      <c r="K34">
        <v>0</v>
      </c>
      <c r="L34">
        <v>3</v>
      </c>
      <c r="M34">
        <v>0</v>
      </c>
      <c r="N34">
        <v>2</v>
      </c>
      <c r="O34">
        <v>1</v>
      </c>
      <c r="P34">
        <v>0</v>
      </c>
      <c r="Q34">
        <v>0</v>
      </c>
      <c r="S34" t="str">
        <f>"13:50:44.914"</f>
        <v>13:50:44.914</v>
      </c>
      <c r="T34" t="str">
        <f>"13:50:44.514"</f>
        <v>13:50:44.514</v>
      </c>
      <c r="U34" t="str">
        <f t="shared" si="1"/>
        <v>A92BC1</v>
      </c>
      <c r="V34">
        <v>0</v>
      </c>
      <c r="W34">
        <v>0</v>
      </c>
      <c r="X34">
        <v>2</v>
      </c>
      <c r="Z34">
        <v>0</v>
      </c>
      <c r="AA34">
        <v>9</v>
      </c>
      <c r="AB34">
        <v>3</v>
      </c>
      <c r="AC34">
        <v>0</v>
      </c>
      <c r="AD34">
        <v>10</v>
      </c>
      <c r="AE34">
        <v>0</v>
      </c>
      <c r="AF34">
        <v>0</v>
      </c>
      <c r="AG34">
        <v>2</v>
      </c>
      <c r="AH34">
        <v>0</v>
      </c>
      <c r="AI34" t="s">
        <v>144</v>
      </c>
      <c r="AJ34">
        <v>45.630254999999998</v>
      </c>
      <c r="AK34" t="s">
        <v>148</v>
      </c>
      <c r="AL34">
        <v>-89.489199999999997</v>
      </c>
      <c r="AM34">
        <v>100</v>
      </c>
      <c r="AN34">
        <v>2000</v>
      </c>
      <c r="AO34" t="s">
        <v>118</v>
      </c>
      <c r="AP34">
        <v>-139</v>
      </c>
      <c r="AQ34">
        <v>0</v>
      </c>
      <c r="AR34">
        <v>2624</v>
      </c>
      <c r="AZ34">
        <v>1200</v>
      </c>
      <c r="BA34">
        <v>1</v>
      </c>
      <c r="BB34" t="str">
        <f t="shared" si="4"/>
        <v xml:space="preserve">N690LS  </v>
      </c>
      <c r="BC34">
        <v>1</v>
      </c>
      <c r="BE34">
        <v>0</v>
      </c>
      <c r="BF34">
        <v>0</v>
      </c>
      <c r="BG34">
        <v>0</v>
      </c>
      <c r="BH34">
        <v>2025</v>
      </c>
      <c r="BI34">
        <v>1</v>
      </c>
      <c r="BJ34">
        <v>1</v>
      </c>
      <c r="BK34">
        <v>1</v>
      </c>
      <c r="BL34">
        <v>0</v>
      </c>
      <c r="BO34">
        <v>0</v>
      </c>
      <c r="BP34">
        <v>0</v>
      </c>
      <c r="BW34" t="str">
        <f>"13:50:44.920"</f>
        <v>13:50:44.920</v>
      </c>
      <c r="CJ34">
        <v>0</v>
      </c>
      <c r="CK34">
        <v>2</v>
      </c>
      <c r="CL34">
        <v>0</v>
      </c>
      <c r="CM34">
        <v>2</v>
      </c>
      <c r="CN34">
        <v>0</v>
      </c>
      <c r="CO34">
        <v>1</v>
      </c>
      <c r="CP34" t="s">
        <v>119</v>
      </c>
      <c r="CQ34">
        <v>209</v>
      </c>
      <c r="CR34">
        <v>3</v>
      </c>
      <c r="CW34">
        <v>7114899</v>
      </c>
      <c r="CY34">
        <v>0</v>
      </c>
      <c r="CZ34">
        <v>0</v>
      </c>
      <c r="DA34">
        <v>1</v>
      </c>
      <c r="DB34">
        <v>0</v>
      </c>
      <c r="DC34">
        <v>0</v>
      </c>
      <c r="DD34">
        <v>0</v>
      </c>
      <c r="DE34">
        <v>0</v>
      </c>
      <c r="DF34">
        <v>0</v>
      </c>
      <c r="DG34">
        <v>0</v>
      </c>
      <c r="DH34">
        <v>0</v>
      </c>
      <c r="DI34">
        <v>0</v>
      </c>
    </row>
    <row r="35" spans="1:113" x14ac:dyDescent="0.3">
      <c r="A35" t="str">
        <f>"09/28/2021 13:50:45.967"</f>
        <v>09/28/2021 13:50:45.967</v>
      </c>
      <c r="C35" t="str">
        <f t="shared" si="3"/>
        <v>FFDFD3C0</v>
      </c>
      <c r="D35" t="s">
        <v>120</v>
      </c>
      <c r="E35">
        <v>12</v>
      </c>
      <c r="F35">
        <v>1012</v>
      </c>
      <c r="G35" t="s">
        <v>114</v>
      </c>
      <c r="J35" t="s">
        <v>121</v>
      </c>
      <c r="K35">
        <v>0</v>
      </c>
      <c r="L35">
        <v>3</v>
      </c>
      <c r="M35">
        <v>0</v>
      </c>
      <c r="N35">
        <v>2</v>
      </c>
      <c r="O35">
        <v>1</v>
      </c>
      <c r="P35">
        <v>0</v>
      </c>
      <c r="Q35">
        <v>0</v>
      </c>
      <c r="S35" t="str">
        <f>"13:50:45.781"</f>
        <v>13:50:45.781</v>
      </c>
      <c r="T35" t="str">
        <f>"13:50:45.381"</f>
        <v>13:50:45.381</v>
      </c>
      <c r="U35" t="str">
        <f t="shared" si="1"/>
        <v>A92BC1</v>
      </c>
      <c r="V35">
        <v>0</v>
      </c>
      <c r="W35">
        <v>0</v>
      </c>
      <c r="X35">
        <v>2</v>
      </c>
      <c r="Z35">
        <v>0</v>
      </c>
      <c r="AA35">
        <v>9</v>
      </c>
      <c r="AB35">
        <v>3</v>
      </c>
      <c r="AC35">
        <v>0</v>
      </c>
      <c r="AD35">
        <v>10</v>
      </c>
      <c r="AE35">
        <v>0</v>
      </c>
      <c r="AF35">
        <v>0</v>
      </c>
      <c r="AG35">
        <v>2</v>
      </c>
      <c r="AH35">
        <v>0</v>
      </c>
      <c r="AI35" t="s">
        <v>144</v>
      </c>
      <c r="AJ35">
        <v>45.630254999999998</v>
      </c>
      <c r="AK35" t="s">
        <v>149</v>
      </c>
      <c r="AL35">
        <v>-89.489930000000001</v>
      </c>
      <c r="AM35">
        <v>100</v>
      </c>
      <c r="AN35">
        <v>2100</v>
      </c>
      <c r="AO35" t="s">
        <v>118</v>
      </c>
      <c r="AP35">
        <v>-140</v>
      </c>
      <c r="AQ35">
        <v>2</v>
      </c>
      <c r="AR35">
        <v>2560</v>
      </c>
      <c r="AZ35">
        <v>1200</v>
      </c>
      <c r="BA35">
        <v>1</v>
      </c>
      <c r="BB35" t="str">
        <f t="shared" si="4"/>
        <v xml:space="preserve">N690LS  </v>
      </c>
      <c r="BC35">
        <v>1</v>
      </c>
      <c r="BE35">
        <v>0</v>
      </c>
      <c r="BF35">
        <v>0</v>
      </c>
      <c r="BG35">
        <v>0</v>
      </c>
      <c r="BH35">
        <v>2050</v>
      </c>
      <c r="BI35">
        <v>1</v>
      </c>
      <c r="BJ35">
        <v>1</v>
      </c>
      <c r="BK35">
        <v>1</v>
      </c>
      <c r="BL35">
        <v>0</v>
      </c>
      <c r="BO35">
        <v>0</v>
      </c>
      <c r="BP35">
        <v>0</v>
      </c>
      <c r="BW35" t="str">
        <f>"13:50:45.783"</f>
        <v>13:50:45.783</v>
      </c>
      <c r="CJ35">
        <v>0</v>
      </c>
      <c r="CK35">
        <v>2</v>
      </c>
      <c r="CL35">
        <v>0</v>
      </c>
      <c r="CM35">
        <v>2</v>
      </c>
      <c r="CN35">
        <v>0</v>
      </c>
      <c r="CO35">
        <v>7</v>
      </c>
      <c r="CP35" t="s">
        <v>119</v>
      </c>
      <c r="CQ35">
        <v>197</v>
      </c>
      <c r="CR35">
        <v>2</v>
      </c>
      <c r="CW35">
        <v>2102810</v>
      </c>
      <c r="CY35">
        <v>0</v>
      </c>
      <c r="CZ35">
        <v>0</v>
      </c>
      <c r="DA35">
        <v>0</v>
      </c>
      <c r="DB35">
        <v>0</v>
      </c>
      <c r="DC35">
        <v>0</v>
      </c>
      <c r="DD35">
        <v>0</v>
      </c>
      <c r="DE35">
        <v>0</v>
      </c>
      <c r="DF35">
        <v>0</v>
      </c>
      <c r="DG35">
        <v>0</v>
      </c>
      <c r="DH35">
        <v>0</v>
      </c>
      <c r="DI35">
        <v>0</v>
      </c>
    </row>
    <row r="36" spans="1:113" x14ac:dyDescent="0.3">
      <c r="A36" t="str">
        <f>"09/28/2021 13:50:46.045"</f>
        <v>09/28/2021 13:50:46.045</v>
      </c>
      <c r="C36" t="str">
        <f t="shared" si="3"/>
        <v>FFDFD3C0</v>
      </c>
      <c r="D36" t="s">
        <v>113</v>
      </c>
      <c r="E36">
        <v>7</v>
      </c>
      <c r="H36">
        <v>170</v>
      </c>
      <c r="I36" t="s">
        <v>114</v>
      </c>
      <c r="J36" t="s">
        <v>115</v>
      </c>
      <c r="K36">
        <v>0</v>
      </c>
      <c r="L36">
        <v>3</v>
      </c>
      <c r="M36">
        <v>0</v>
      </c>
      <c r="N36">
        <v>2</v>
      </c>
      <c r="O36">
        <v>1</v>
      </c>
      <c r="P36">
        <v>0</v>
      </c>
      <c r="Q36">
        <v>0</v>
      </c>
      <c r="S36" t="str">
        <f>"13:50:45.781"</f>
        <v>13:50:45.781</v>
      </c>
      <c r="T36" t="str">
        <f>"13:50:45.381"</f>
        <v>13:50:45.381</v>
      </c>
      <c r="U36" t="str">
        <f t="shared" si="1"/>
        <v>A92BC1</v>
      </c>
      <c r="V36">
        <v>0</v>
      </c>
      <c r="W36">
        <v>0</v>
      </c>
      <c r="X36">
        <v>2</v>
      </c>
      <c r="Z36">
        <v>0</v>
      </c>
      <c r="AA36">
        <v>9</v>
      </c>
      <c r="AB36">
        <v>3</v>
      </c>
      <c r="AC36">
        <v>0</v>
      </c>
      <c r="AD36">
        <v>10</v>
      </c>
      <c r="AE36">
        <v>0</v>
      </c>
      <c r="AF36">
        <v>0</v>
      </c>
      <c r="AG36">
        <v>2</v>
      </c>
      <c r="AH36">
        <v>0</v>
      </c>
      <c r="AI36" t="s">
        <v>144</v>
      </c>
      <c r="AJ36">
        <v>45.630254999999998</v>
      </c>
      <c r="AK36" t="s">
        <v>149</v>
      </c>
      <c r="AL36">
        <v>-89.489930000000001</v>
      </c>
      <c r="AM36">
        <v>100</v>
      </c>
      <c r="AN36">
        <v>2100</v>
      </c>
      <c r="AO36" t="s">
        <v>118</v>
      </c>
      <c r="AP36">
        <v>-140</v>
      </c>
      <c r="AQ36">
        <v>2</v>
      </c>
      <c r="AR36">
        <v>2560</v>
      </c>
      <c r="AZ36">
        <v>1200</v>
      </c>
      <c r="BA36">
        <v>1</v>
      </c>
      <c r="BB36" t="str">
        <f t="shared" si="4"/>
        <v xml:space="preserve">N690LS  </v>
      </c>
      <c r="BC36">
        <v>1</v>
      </c>
      <c r="BE36">
        <v>0</v>
      </c>
      <c r="BF36">
        <v>0</v>
      </c>
      <c r="BG36">
        <v>0</v>
      </c>
      <c r="BH36">
        <v>2050</v>
      </c>
      <c r="BI36">
        <v>1</v>
      </c>
      <c r="BJ36">
        <v>1</v>
      </c>
      <c r="BK36">
        <v>1</v>
      </c>
      <c r="BL36">
        <v>0</v>
      </c>
      <c r="BO36">
        <v>0</v>
      </c>
      <c r="BP36">
        <v>0</v>
      </c>
      <c r="BW36" t="str">
        <f>"13:50:45.783"</f>
        <v>13:50:45.783</v>
      </c>
      <c r="CJ36">
        <v>0</v>
      </c>
      <c r="CK36">
        <v>2</v>
      </c>
      <c r="CL36">
        <v>0</v>
      </c>
      <c r="CM36">
        <v>2</v>
      </c>
      <c r="CN36">
        <v>0</v>
      </c>
      <c r="CO36">
        <v>7</v>
      </c>
      <c r="CP36" t="s">
        <v>119</v>
      </c>
      <c r="CQ36">
        <v>197</v>
      </c>
      <c r="CR36">
        <v>2</v>
      </c>
      <c r="CW36">
        <v>2102810</v>
      </c>
      <c r="CY36">
        <v>0</v>
      </c>
      <c r="CZ36">
        <v>0</v>
      </c>
      <c r="DA36">
        <v>1</v>
      </c>
      <c r="DB36">
        <v>0</v>
      </c>
      <c r="DC36">
        <v>0</v>
      </c>
      <c r="DD36">
        <v>0</v>
      </c>
      <c r="DE36">
        <v>0</v>
      </c>
      <c r="DF36">
        <v>0</v>
      </c>
      <c r="DG36">
        <v>0</v>
      </c>
      <c r="DH36">
        <v>0</v>
      </c>
      <c r="DI36">
        <v>0</v>
      </c>
    </row>
    <row r="37" spans="1:113" x14ac:dyDescent="0.3">
      <c r="A37" t="str">
        <f>"09/28/2021 13:50:47.193"</f>
        <v>09/28/2021 13:50:47.193</v>
      </c>
      <c r="C37" t="str">
        <f>"FFD3D3C0"</f>
        <v>FFD3D3C0</v>
      </c>
      <c r="D37" t="s">
        <v>113</v>
      </c>
      <c r="E37">
        <v>7</v>
      </c>
      <c r="H37">
        <v>170</v>
      </c>
      <c r="I37" t="s">
        <v>114</v>
      </c>
      <c r="J37" t="s">
        <v>115</v>
      </c>
      <c r="K37">
        <v>0</v>
      </c>
      <c r="L37">
        <v>3</v>
      </c>
      <c r="M37">
        <v>0</v>
      </c>
      <c r="N37">
        <v>2</v>
      </c>
      <c r="O37">
        <v>1</v>
      </c>
      <c r="P37">
        <v>0</v>
      </c>
      <c r="Q37">
        <v>0</v>
      </c>
      <c r="S37" t="str">
        <f>"13:50:46.672"</f>
        <v>13:50:46.672</v>
      </c>
      <c r="T37" t="str">
        <f>"13:50:46.272"</f>
        <v>13:50:46.272</v>
      </c>
      <c r="U37" t="str">
        <f t="shared" si="1"/>
        <v>A92BC1</v>
      </c>
      <c r="V37">
        <v>0</v>
      </c>
      <c r="W37">
        <v>0</v>
      </c>
      <c r="X37">
        <v>2</v>
      </c>
      <c r="Z37">
        <v>0</v>
      </c>
      <c r="AA37">
        <v>9</v>
      </c>
      <c r="AB37">
        <v>3</v>
      </c>
      <c r="AC37">
        <v>0</v>
      </c>
      <c r="AD37">
        <v>10</v>
      </c>
      <c r="AE37">
        <v>0</v>
      </c>
      <c r="AF37">
        <v>0</v>
      </c>
      <c r="AG37">
        <v>2</v>
      </c>
      <c r="AH37">
        <v>0</v>
      </c>
      <c r="AI37" t="s">
        <v>137</v>
      </c>
      <c r="AJ37">
        <v>45.630319</v>
      </c>
      <c r="AK37" t="s">
        <v>150</v>
      </c>
      <c r="AL37">
        <v>-89.490787999999995</v>
      </c>
      <c r="AM37">
        <v>100</v>
      </c>
      <c r="AN37">
        <v>2100</v>
      </c>
      <c r="AO37" t="s">
        <v>118</v>
      </c>
      <c r="AP37">
        <v>-140</v>
      </c>
      <c r="AQ37">
        <v>6</v>
      </c>
      <c r="AR37">
        <v>2432</v>
      </c>
      <c r="AZ37">
        <v>1200</v>
      </c>
      <c r="BA37">
        <v>1</v>
      </c>
      <c r="BE37">
        <v>0</v>
      </c>
      <c r="BF37">
        <v>0</v>
      </c>
      <c r="BG37">
        <v>0</v>
      </c>
      <c r="BH37">
        <v>1875</v>
      </c>
      <c r="BI37">
        <v>1</v>
      </c>
      <c r="BJ37">
        <v>1</v>
      </c>
      <c r="BK37">
        <v>1</v>
      </c>
      <c r="BL37">
        <v>0</v>
      </c>
      <c r="BO37">
        <v>0</v>
      </c>
      <c r="BP37">
        <v>0</v>
      </c>
      <c r="BW37" t="str">
        <f>"13:50:46.672"</f>
        <v>13:50:46.672</v>
      </c>
      <c r="CJ37">
        <v>0</v>
      </c>
      <c r="CK37">
        <v>2</v>
      </c>
      <c r="CL37">
        <v>0</v>
      </c>
      <c r="CM37">
        <v>2</v>
      </c>
      <c r="CN37">
        <v>0</v>
      </c>
      <c r="CO37">
        <v>4</v>
      </c>
      <c r="CP37" t="s">
        <v>119</v>
      </c>
      <c r="CQ37">
        <v>181</v>
      </c>
      <c r="CR37">
        <v>0</v>
      </c>
      <c r="CW37">
        <v>7667256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1</v>
      </c>
      <c r="DG37">
        <v>0</v>
      </c>
      <c r="DH37">
        <v>0</v>
      </c>
      <c r="DI37">
        <v>1</v>
      </c>
    </row>
    <row r="38" spans="1:113" x14ac:dyDescent="0.3">
      <c r="A38" t="str">
        <f>"09/28/2021 13:50:47.240"</f>
        <v>09/28/2021 13:50:47.240</v>
      </c>
      <c r="C38" t="str">
        <f>"FFD3D3C0"</f>
        <v>FFD3D3C0</v>
      </c>
      <c r="D38" t="s">
        <v>120</v>
      </c>
      <c r="E38">
        <v>12</v>
      </c>
      <c r="F38">
        <v>1012</v>
      </c>
      <c r="G38" t="s">
        <v>114</v>
      </c>
      <c r="J38" t="s">
        <v>121</v>
      </c>
      <c r="K38">
        <v>0</v>
      </c>
      <c r="L38">
        <v>3</v>
      </c>
      <c r="M38">
        <v>0</v>
      </c>
      <c r="N38">
        <v>2</v>
      </c>
      <c r="O38">
        <v>1</v>
      </c>
      <c r="P38">
        <v>0</v>
      </c>
      <c r="Q38">
        <v>0</v>
      </c>
      <c r="S38" t="str">
        <f>"13:50:46.672"</f>
        <v>13:50:46.672</v>
      </c>
      <c r="T38" t="str">
        <f>"13:50:46.272"</f>
        <v>13:50:46.272</v>
      </c>
      <c r="U38" t="str">
        <f t="shared" si="1"/>
        <v>A92BC1</v>
      </c>
      <c r="V38">
        <v>0</v>
      </c>
      <c r="W38">
        <v>0</v>
      </c>
      <c r="X38">
        <v>2</v>
      </c>
      <c r="Z38">
        <v>0</v>
      </c>
      <c r="AA38">
        <v>9</v>
      </c>
      <c r="AB38">
        <v>3</v>
      </c>
      <c r="AC38">
        <v>0</v>
      </c>
      <c r="AD38">
        <v>10</v>
      </c>
      <c r="AE38">
        <v>0</v>
      </c>
      <c r="AF38">
        <v>0</v>
      </c>
      <c r="AG38">
        <v>2</v>
      </c>
      <c r="AH38">
        <v>0</v>
      </c>
      <c r="AI38" t="s">
        <v>137</v>
      </c>
      <c r="AJ38">
        <v>45.630319</v>
      </c>
      <c r="AK38" t="s">
        <v>150</v>
      </c>
      <c r="AL38">
        <v>-89.490787999999995</v>
      </c>
      <c r="AM38">
        <v>100</v>
      </c>
      <c r="AN38">
        <v>2100</v>
      </c>
      <c r="AO38" t="s">
        <v>118</v>
      </c>
      <c r="AP38">
        <v>-140</v>
      </c>
      <c r="AQ38">
        <v>6</v>
      </c>
      <c r="AR38">
        <v>2432</v>
      </c>
      <c r="AZ38">
        <v>1200</v>
      </c>
      <c r="BA38">
        <v>1</v>
      </c>
      <c r="BE38">
        <v>0</v>
      </c>
      <c r="BF38">
        <v>0</v>
      </c>
      <c r="BG38">
        <v>0</v>
      </c>
      <c r="BH38">
        <v>1875</v>
      </c>
      <c r="BI38">
        <v>1</v>
      </c>
      <c r="BJ38">
        <v>1</v>
      </c>
      <c r="BK38">
        <v>1</v>
      </c>
      <c r="BL38">
        <v>0</v>
      </c>
      <c r="BO38">
        <v>0</v>
      </c>
      <c r="BP38">
        <v>0</v>
      </c>
      <c r="BW38" t="str">
        <f>"13:50:46.672"</f>
        <v>13:50:46.672</v>
      </c>
      <c r="CJ38">
        <v>0</v>
      </c>
      <c r="CK38">
        <v>2</v>
      </c>
      <c r="CL38">
        <v>0</v>
      </c>
      <c r="CM38">
        <v>2</v>
      </c>
      <c r="CN38">
        <v>0</v>
      </c>
      <c r="CO38">
        <v>4</v>
      </c>
      <c r="CP38" t="s">
        <v>119</v>
      </c>
      <c r="CQ38">
        <v>181</v>
      </c>
      <c r="CR38">
        <v>0</v>
      </c>
      <c r="CW38">
        <v>7667256</v>
      </c>
      <c r="CY38">
        <v>0</v>
      </c>
      <c r="CZ38">
        <v>0</v>
      </c>
      <c r="DA38">
        <v>1</v>
      </c>
      <c r="DB38">
        <v>0</v>
      </c>
      <c r="DC38">
        <v>0</v>
      </c>
      <c r="DD38">
        <v>0</v>
      </c>
      <c r="DE38">
        <v>0</v>
      </c>
      <c r="DF38">
        <v>1</v>
      </c>
      <c r="DG38">
        <v>0</v>
      </c>
      <c r="DH38">
        <v>0</v>
      </c>
      <c r="DI38">
        <v>1</v>
      </c>
    </row>
    <row r="39" spans="1:113" x14ac:dyDescent="0.3">
      <c r="A39" t="str">
        <f>"09/28/2021 13:50:48.257"</f>
        <v>09/28/2021 13:50:48.257</v>
      </c>
      <c r="C39" t="str">
        <f t="shared" ref="C39:C102" si="5">"FFDFD3C0"</f>
        <v>FFDFD3C0</v>
      </c>
      <c r="D39" t="s">
        <v>113</v>
      </c>
      <c r="E39">
        <v>7</v>
      </c>
      <c r="H39">
        <v>170</v>
      </c>
      <c r="I39" t="s">
        <v>114</v>
      </c>
      <c r="J39" t="s">
        <v>115</v>
      </c>
      <c r="K39">
        <v>0</v>
      </c>
      <c r="L39">
        <v>3</v>
      </c>
      <c r="M39">
        <v>0</v>
      </c>
      <c r="N39">
        <v>2</v>
      </c>
      <c r="O39">
        <v>1</v>
      </c>
      <c r="P39">
        <v>0</v>
      </c>
      <c r="Q39">
        <v>0</v>
      </c>
      <c r="S39" t="str">
        <f>"13:50:47.664"</f>
        <v>13:50:47.664</v>
      </c>
      <c r="T39" t="str">
        <f>"13:50:47.264"</f>
        <v>13:50:47.264</v>
      </c>
      <c r="U39" t="str">
        <f t="shared" si="1"/>
        <v>A92BC1</v>
      </c>
      <c r="V39">
        <v>0</v>
      </c>
      <c r="W39">
        <v>0</v>
      </c>
      <c r="X39">
        <v>2</v>
      </c>
      <c r="Z39">
        <v>0</v>
      </c>
      <c r="AA39">
        <v>9</v>
      </c>
      <c r="AB39">
        <v>3</v>
      </c>
      <c r="AC39">
        <v>0</v>
      </c>
      <c r="AD39">
        <v>10</v>
      </c>
      <c r="AE39">
        <v>0</v>
      </c>
      <c r="AF39">
        <v>0</v>
      </c>
      <c r="AG39">
        <v>2</v>
      </c>
      <c r="AH39">
        <v>0</v>
      </c>
      <c r="AI39" t="s">
        <v>133</v>
      </c>
      <c r="AJ39">
        <v>45.630361999999998</v>
      </c>
      <c r="AK39" t="s">
        <v>151</v>
      </c>
      <c r="AL39">
        <v>-89.491754</v>
      </c>
      <c r="AM39">
        <v>100</v>
      </c>
      <c r="AN39">
        <v>2100</v>
      </c>
      <c r="AO39" t="s">
        <v>118</v>
      </c>
      <c r="AP39">
        <v>-141</v>
      </c>
      <c r="AQ39">
        <v>13</v>
      </c>
      <c r="AR39">
        <v>2240</v>
      </c>
      <c r="AZ39">
        <v>1200</v>
      </c>
      <c r="BA39">
        <v>1</v>
      </c>
      <c r="BB39" t="str">
        <f t="shared" ref="BB39:BB102" si="6">"N690LS  "</f>
        <v xml:space="preserve">N690LS  </v>
      </c>
      <c r="BC39">
        <v>1</v>
      </c>
      <c r="BE39">
        <v>0</v>
      </c>
      <c r="BF39">
        <v>0</v>
      </c>
      <c r="BG39">
        <v>0</v>
      </c>
      <c r="BH39">
        <v>2125</v>
      </c>
      <c r="BI39">
        <v>1</v>
      </c>
      <c r="BJ39">
        <v>1</v>
      </c>
      <c r="BK39">
        <v>1</v>
      </c>
      <c r="BL39">
        <v>0</v>
      </c>
      <c r="BO39">
        <v>0</v>
      </c>
      <c r="BP39">
        <v>0</v>
      </c>
      <c r="BW39" t="str">
        <f>"13:50:47.667"</f>
        <v>13:50:47.667</v>
      </c>
      <c r="CJ39">
        <v>0</v>
      </c>
      <c r="CK39">
        <v>2</v>
      </c>
      <c r="CL39">
        <v>0</v>
      </c>
      <c r="CM39">
        <v>2</v>
      </c>
      <c r="CN39">
        <v>0</v>
      </c>
      <c r="CO39">
        <v>4</v>
      </c>
      <c r="CP39" t="s">
        <v>119</v>
      </c>
      <c r="CQ39">
        <v>181</v>
      </c>
      <c r="CR39">
        <v>0</v>
      </c>
      <c r="CW39">
        <v>7668652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</row>
    <row r="40" spans="1:113" x14ac:dyDescent="0.3">
      <c r="A40" t="str">
        <f>"09/28/2021 13:50:48.257"</f>
        <v>09/28/2021 13:50:48.257</v>
      </c>
      <c r="C40" t="str">
        <f t="shared" si="5"/>
        <v>FFDFD3C0</v>
      </c>
      <c r="D40" t="s">
        <v>120</v>
      </c>
      <c r="E40">
        <v>12</v>
      </c>
      <c r="F40">
        <v>1012</v>
      </c>
      <c r="G40" t="s">
        <v>114</v>
      </c>
      <c r="J40" t="s">
        <v>121</v>
      </c>
      <c r="K40">
        <v>0</v>
      </c>
      <c r="L40">
        <v>3</v>
      </c>
      <c r="M40">
        <v>0</v>
      </c>
      <c r="N40">
        <v>2</v>
      </c>
      <c r="O40">
        <v>1</v>
      </c>
      <c r="P40">
        <v>0</v>
      </c>
      <c r="Q40">
        <v>0</v>
      </c>
      <c r="S40" t="str">
        <f>"13:50:47.664"</f>
        <v>13:50:47.664</v>
      </c>
      <c r="T40" t="str">
        <f>"13:50:47.264"</f>
        <v>13:50:47.264</v>
      </c>
      <c r="U40" t="str">
        <f t="shared" si="1"/>
        <v>A92BC1</v>
      </c>
      <c r="V40">
        <v>0</v>
      </c>
      <c r="W40">
        <v>0</v>
      </c>
      <c r="X40">
        <v>2</v>
      </c>
      <c r="Z40">
        <v>0</v>
      </c>
      <c r="AA40">
        <v>9</v>
      </c>
      <c r="AB40">
        <v>3</v>
      </c>
      <c r="AC40">
        <v>0</v>
      </c>
      <c r="AD40">
        <v>10</v>
      </c>
      <c r="AE40">
        <v>0</v>
      </c>
      <c r="AF40">
        <v>0</v>
      </c>
      <c r="AG40">
        <v>2</v>
      </c>
      <c r="AH40">
        <v>0</v>
      </c>
      <c r="AI40" t="s">
        <v>133</v>
      </c>
      <c r="AJ40">
        <v>45.630361999999998</v>
      </c>
      <c r="AK40" t="s">
        <v>151</v>
      </c>
      <c r="AL40">
        <v>-89.491754</v>
      </c>
      <c r="AM40">
        <v>100</v>
      </c>
      <c r="AN40">
        <v>2100</v>
      </c>
      <c r="AO40" t="s">
        <v>118</v>
      </c>
      <c r="AP40">
        <v>-141</v>
      </c>
      <c r="AQ40">
        <v>13</v>
      </c>
      <c r="AR40">
        <v>2240</v>
      </c>
      <c r="AZ40">
        <v>1200</v>
      </c>
      <c r="BA40">
        <v>1</v>
      </c>
      <c r="BB40" t="str">
        <f t="shared" si="6"/>
        <v xml:space="preserve">N690LS  </v>
      </c>
      <c r="BC40">
        <v>1</v>
      </c>
      <c r="BE40">
        <v>0</v>
      </c>
      <c r="BF40">
        <v>0</v>
      </c>
      <c r="BG40">
        <v>0</v>
      </c>
      <c r="BH40">
        <v>2125</v>
      </c>
      <c r="BI40">
        <v>1</v>
      </c>
      <c r="BJ40">
        <v>1</v>
      </c>
      <c r="BK40">
        <v>1</v>
      </c>
      <c r="BL40">
        <v>0</v>
      </c>
      <c r="BO40">
        <v>0</v>
      </c>
      <c r="BP40">
        <v>0</v>
      </c>
      <c r="BW40" t="str">
        <f>"13:50:47.667"</f>
        <v>13:50:47.667</v>
      </c>
      <c r="CJ40">
        <v>0</v>
      </c>
      <c r="CK40">
        <v>2</v>
      </c>
      <c r="CL40">
        <v>0</v>
      </c>
      <c r="CM40">
        <v>2</v>
      </c>
      <c r="CN40">
        <v>0</v>
      </c>
      <c r="CO40">
        <v>4</v>
      </c>
      <c r="CP40" t="s">
        <v>119</v>
      </c>
      <c r="CQ40">
        <v>181</v>
      </c>
      <c r="CR40">
        <v>0</v>
      </c>
      <c r="CW40">
        <v>7668652</v>
      </c>
      <c r="CY40">
        <v>0</v>
      </c>
      <c r="CZ40">
        <v>0</v>
      </c>
      <c r="DA40">
        <v>1</v>
      </c>
      <c r="DB40">
        <v>0</v>
      </c>
      <c r="DC40">
        <v>0</v>
      </c>
      <c r="DD40">
        <v>0</v>
      </c>
      <c r="DE40">
        <v>0</v>
      </c>
      <c r="DF40">
        <v>0</v>
      </c>
      <c r="DG40">
        <v>0</v>
      </c>
      <c r="DH40">
        <v>0</v>
      </c>
      <c r="DI40">
        <v>0</v>
      </c>
    </row>
    <row r="41" spans="1:113" x14ac:dyDescent="0.3">
      <c r="A41" t="str">
        <f>"09/28/2021 13:50:49.226"</f>
        <v>09/28/2021 13:50:49.226</v>
      </c>
      <c r="C41" t="str">
        <f t="shared" si="5"/>
        <v>FFDFD3C0</v>
      </c>
      <c r="D41" t="s">
        <v>113</v>
      </c>
      <c r="E41">
        <v>7</v>
      </c>
      <c r="H41">
        <v>170</v>
      </c>
      <c r="I41" t="s">
        <v>114</v>
      </c>
      <c r="J41" t="s">
        <v>115</v>
      </c>
      <c r="K41">
        <v>0</v>
      </c>
      <c r="L41">
        <v>3</v>
      </c>
      <c r="M41">
        <v>0</v>
      </c>
      <c r="N41">
        <v>2</v>
      </c>
      <c r="O41">
        <v>1</v>
      </c>
      <c r="P41">
        <v>0</v>
      </c>
      <c r="Q41">
        <v>0</v>
      </c>
      <c r="S41" t="str">
        <f>"13:50:48.688"</f>
        <v>13:50:48.688</v>
      </c>
      <c r="T41" t="str">
        <f>"13:50:48.288"</f>
        <v>13:50:48.288</v>
      </c>
      <c r="U41" t="str">
        <f t="shared" si="1"/>
        <v>A92BC1</v>
      </c>
      <c r="V41">
        <v>0</v>
      </c>
      <c r="W41">
        <v>0</v>
      </c>
      <c r="X41">
        <v>2</v>
      </c>
      <c r="Z41">
        <v>0</v>
      </c>
      <c r="AA41">
        <v>9</v>
      </c>
      <c r="AB41">
        <v>3</v>
      </c>
      <c r="AC41">
        <v>0</v>
      </c>
      <c r="AD41">
        <v>10</v>
      </c>
      <c r="AE41">
        <v>0</v>
      </c>
      <c r="AF41">
        <v>0</v>
      </c>
      <c r="AG41">
        <v>2</v>
      </c>
      <c r="AH41">
        <v>0</v>
      </c>
      <c r="AI41" t="s">
        <v>129</v>
      </c>
      <c r="AJ41">
        <v>45.630448000000001</v>
      </c>
      <c r="AK41" t="s">
        <v>152</v>
      </c>
      <c r="AL41">
        <v>-89.492632999999998</v>
      </c>
      <c r="AM41">
        <v>100</v>
      </c>
      <c r="AN41">
        <v>2200</v>
      </c>
      <c r="AO41" t="s">
        <v>118</v>
      </c>
      <c r="AP41">
        <v>-141</v>
      </c>
      <c r="AQ41">
        <v>21</v>
      </c>
      <c r="AR41">
        <v>2112</v>
      </c>
      <c r="AZ41">
        <v>1200</v>
      </c>
      <c r="BA41">
        <v>1</v>
      </c>
      <c r="BB41" t="str">
        <f t="shared" si="6"/>
        <v xml:space="preserve">N690LS  </v>
      </c>
      <c r="BC41">
        <v>1</v>
      </c>
      <c r="BE41">
        <v>0</v>
      </c>
      <c r="BF41">
        <v>0</v>
      </c>
      <c r="BG41">
        <v>0</v>
      </c>
      <c r="BH41">
        <v>2150</v>
      </c>
      <c r="BI41">
        <v>1</v>
      </c>
      <c r="BJ41">
        <v>1</v>
      </c>
      <c r="BK41">
        <v>1</v>
      </c>
      <c r="BL41">
        <v>0</v>
      </c>
      <c r="BO41">
        <v>0</v>
      </c>
      <c r="BP41">
        <v>0</v>
      </c>
      <c r="BW41" t="str">
        <f>"13:50:48.694"</f>
        <v>13:50:48.694</v>
      </c>
      <c r="CJ41">
        <v>0</v>
      </c>
      <c r="CK41">
        <v>2</v>
      </c>
      <c r="CL41">
        <v>0</v>
      </c>
      <c r="CM41">
        <v>2</v>
      </c>
      <c r="CN41">
        <v>0</v>
      </c>
      <c r="CO41">
        <v>5</v>
      </c>
      <c r="CP41" t="s">
        <v>119</v>
      </c>
      <c r="CQ41">
        <v>181</v>
      </c>
      <c r="CR41">
        <v>0</v>
      </c>
      <c r="CW41">
        <v>7670143</v>
      </c>
      <c r="CY41">
        <v>0</v>
      </c>
      <c r="CZ41"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0</v>
      </c>
      <c r="DG41">
        <v>0</v>
      </c>
      <c r="DH41">
        <v>0</v>
      </c>
      <c r="DI41">
        <v>0</v>
      </c>
    </row>
    <row r="42" spans="1:113" x14ac:dyDescent="0.3">
      <c r="A42" t="str">
        <f>"09/28/2021 13:50:49.226"</f>
        <v>09/28/2021 13:50:49.226</v>
      </c>
      <c r="C42" t="str">
        <f t="shared" si="5"/>
        <v>FFDFD3C0</v>
      </c>
      <c r="D42" t="s">
        <v>120</v>
      </c>
      <c r="E42">
        <v>12</v>
      </c>
      <c r="F42">
        <v>1012</v>
      </c>
      <c r="G42" t="s">
        <v>114</v>
      </c>
      <c r="J42" t="s">
        <v>121</v>
      </c>
      <c r="K42">
        <v>0</v>
      </c>
      <c r="L42">
        <v>3</v>
      </c>
      <c r="M42">
        <v>0</v>
      </c>
      <c r="N42">
        <v>2</v>
      </c>
      <c r="O42">
        <v>1</v>
      </c>
      <c r="P42">
        <v>0</v>
      </c>
      <c r="Q42">
        <v>0</v>
      </c>
      <c r="S42" t="str">
        <f>"13:50:48.688"</f>
        <v>13:50:48.688</v>
      </c>
      <c r="T42" t="str">
        <f>"13:50:48.288"</f>
        <v>13:50:48.288</v>
      </c>
      <c r="U42" t="str">
        <f t="shared" si="1"/>
        <v>A92BC1</v>
      </c>
      <c r="V42">
        <v>0</v>
      </c>
      <c r="W42">
        <v>0</v>
      </c>
      <c r="X42">
        <v>2</v>
      </c>
      <c r="Z42">
        <v>0</v>
      </c>
      <c r="AA42">
        <v>9</v>
      </c>
      <c r="AB42">
        <v>3</v>
      </c>
      <c r="AC42">
        <v>0</v>
      </c>
      <c r="AD42">
        <v>10</v>
      </c>
      <c r="AE42">
        <v>0</v>
      </c>
      <c r="AF42">
        <v>0</v>
      </c>
      <c r="AG42">
        <v>2</v>
      </c>
      <c r="AH42">
        <v>0</v>
      </c>
      <c r="AI42" t="s">
        <v>129</v>
      </c>
      <c r="AJ42">
        <v>45.630448000000001</v>
      </c>
      <c r="AK42" t="s">
        <v>152</v>
      </c>
      <c r="AL42">
        <v>-89.492632999999998</v>
      </c>
      <c r="AM42">
        <v>100</v>
      </c>
      <c r="AN42">
        <v>2200</v>
      </c>
      <c r="AO42" t="s">
        <v>118</v>
      </c>
      <c r="AP42">
        <v>-141</v>
      </c>
      <c r="AQ42">
        <v>21</v>
      </c>
      <c r="AR42">
        <v>2112</v>
      </c>
      <c r="AZ42">
        <v>1200</v>
      </c>
      <c r="BA42">
        <v>1</v>
      </c>
      <c r="BB42" t="str">
        <f t="shared" si="6"/>
        <v xml:space="preserve">N690LS  </v>
      </c>
      <c r="BC42">
        <v>1</v>
      </c>
      <c r="BE42">
        <v>0</v>
      </c>
      <c r="BF42">
        <v>0</v>
      </c>
      <c r="BG42">
        <v>0</v>
      </c>
      <c r="BH42">
        <v>2150</v>
      </c>
      <c r="BI42">
        <v>1</v>
      </c>
      <c r="BJ42">
        <v>1</v>
      </c>
      <c r="BK42">
        <v>1</v>
      </c>
      <c r="BL42">
        <v>0</v>
      </c>
      <c r="BO42">
        <v>0</v>
      </c>
      <c r="BP42">
        <v>0</v>
      </c>
      <c r="BW42" t="str">
        <f>"13:50:48.694"</f>
        <v>13:50:48.694</v>
      </c>
      <c r="CJ42">
        <v>0</v>
      </c>
      <c r="CK42">
        <v>2</v>
      </c>
      <c r="CL42">
        <v>0</v>
      </c>
      <c r="CM42">
        <v>2</v>
      </c>
      <c r="CN42">
        <v>0</v>
      </c>
      <c r="CO42">
        <v>5</v>
      </c>
      <c r="CP42" t="s">
        <v>119</v>
      </c>
      <c r="CQ42">
        <v>181</v>
      </c>
      <c r="CR42">
        <v>0</v>
      </c>
      <c r="CW42">
        <v>7670143</v>
      </c>
      <c r="CY42">
        <v>0</v>
      </c>
      <c r="CZ42">
        <v>0</v>
      </c>
      <c r="DA42">
        <v>1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0</v>
      </c>
      <c r="DH42">
        <v>0</v>
      </c>
      <c r="DI42">
        <v>0</v>
      </c>
    </row>
    <row r="43" spans="1:113" x14ac:dyDescent="0.3">
      <c r="A43" t="str">
        <f>"09/28/2021 13:50:50.288"</f>
        <v>09/28/2021 13:50:50.288</v>
      </c>
      <c r="C43" t="str">
        <f t="shared" si="5"/>
        <v>FFDFD3C0</v>
      </c>
      <c r="D43" t="s">
        <v>113</v>
      </c>
      <c r="E43">
        <v>7</v>
      </c>
      <c r="H43">
        <v>170</v>
      </c>
      <c r="I43" t="s">
        <v>114</v>
      </c>
      <c r="J43" t="s">
        <v>115</v>
      </c>
      <c r="K43">
        <v>0</v>
      </c>
      <c r="L43">
        <v>3</v>
      </c>
      <c r="M43">
        <v>0</v>
      </c>
      <c r="N43">
        <v>2</v>
      </c>
      <c r="O43">
        <v>1</v>
      </c>
      <c r="P43">
        <v>0</v>
      </c>
      <c r="Q43">
        <v>0</v>
      </c>
      <c r="S43" t="str">
        <f>"13:50:50.125"</f>
        <v>13:50:50.125</v>
      </c>
      <c r="T43" t="str">
        <f>"13:50:49.225"</f>
        <v>13:50:49.225</v>
      </c>
      <c r="U43" t="str">
        <f t="shared" si="1"/>
        <v>A92BC1</v>
      </c>
      <c r="V43">
        <v>0</v>
      </c>
      <c r="W43">
        <v>0</v>
      </c>
      <c r="X43">
        <v>2</v>
      </c>
      <c r="Z43">
        <v>0</v>
      </c>
      <c r="AA43">
        <v>9</v>
      </c>
      <c r="AB43">
        <v>3</v>
      </c>
      <c r="AC43">
        <v>0</v>
      </c>
      <c r="AD43">
        <v>10</v>
      </c>
      <c r="AE43">
        <v>0</v>
      </c>
      <c r="AF43">
        <v>0</v>
      </c>
      <c r="AG43">
        <v>2</v>
      </c>
      <c r="AH43">
        <v>0</v>
      </c>
      <c r="AI43" t="s">
        <v>153</v>
      </c>
      <c r="AJ43">
        <v>45.630704999999999</v>
      </c>
      <c r="AK43" t="s">
        <v>154</v>
      </c>
      <c r="AL43">
        <v>-89.494028</v>
      </c>
      <c r="AM43">
        <v>100</v>
      </c>
      <c r="AN43">
        <v>2200</v>
      </c>
      <c r="AO43" t="s">
        <v>118</v>
      </c>
      <c r="AP43">
        <v>-140</v>
      </c>
      <c r="AQ43">
        <v>29</v>
      </c>
      <c r="AR43">
        <v>2176</v>
      </c>
      <c r="AZ43">
        <v>1200</v>
      </c>
      <c r="BA43">
        <v>1</v>
      </c>
      <c r="BB43" t="str">
        <f t="shared" si="6"/>
        <v xml:space="preserve">N690LS  </v>
      </c>
      <c r="BC43">
        <v>1</v>
      </c>
      <c r="BE43">
        <v>0</v>
      </c>
      <c r="BF43">
        <v>0</v>
      </c>
      <c r="BG43">
        <v>0</v>
      </c>
      <c r="BH43">
        <v>2200</v>
      </c>
      <c r="BI43">
        <v>1</v>
      </c>
      <c r="BJ43">
        <v>1</v>
      </c>
      <c r="BK43">
        <v>1</v>
      </c>
      <c r="BL43">
        <v>0</v>
      </c>
      <c r="BO43">
        <v>0</v>
      </c>
      <c r="BP43">
        <v>0</v>
      </c>
      <c r="BW43" t="str">
        <f>"13:50:50.126"</f>
        <v>13:50:50.126</v>
      </c>
      <c r="CJ43">
        <v>0</v>
      </c>
      <c r="CK43">
        <v>2</v>
      </c>
      <c r="CL43">
        <v>0</v>
      </c>
      <c r="CM43">
        <v>2</v>
      </c>
      <c r="CN43">
        <v>0</v>
      </c>
      <c r="CO43">
        <v>5</v>
      </c>
      <c r="CP43" t="s">
        <v>119</v>
      </c>
      <c r="CQ43">
        <v>181</v>
      </c>
      <c r="CR43">
        <v>0</v>
      </c>
      <c r="CW43">
        <v>7672172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0</v>
      </c>
      <c r="DH43">
        <v>0</v>
      </c>
      <c r="DI43">
        <v>0</v>
      </c>
    </row>
    <row r="44" spans="1:113" x14ac:dyDescent="0.3">
      <c r="A44" t="str">
        <f>"09/28/2021 13:50:50.304"</f>
        <v>09/28/2021 13:50:50.304</v>
      </c>
      <c r="C44" t="str">
        <f t="shared" si="5"/>
        <v>FFDFD3C0</v>
      </c>
      <c r="D44" t="s">
        <v>120</v>
      </c>
      <c r="E44">
        <v>12</v>
      </c>
      <c r="F44">
        <v>1012</v>
      </c>
      <c r="G44" t="s">
        <v>114</v>
      </c>
      <c r="J44" t="s">
        <v>121</v>
      </c>
      <c r="K44">
        <v>0</v>
      </c>
      <c r="L44">
        <v>3</v>
      </c>
      <c r="M44">
        <v>0</v>
      </c>
      <c r="N44">
        <v>2</v>
      </c>
      <c r="O44">
        <v>1</v>
      </c>
      <c r="P44">
        <v>0</v>
      </c>
      <c r="Q44">
        <v>0</v>
      </c>
      <c r="S44" t="str">
        <f>"13:50:50.125"</f>
        <v>13:50:50.125</v>
      </c>
      <c r="T44" t="str">
        <f>"13:50:49.225"</f>
        <v>13:50:49.225</v>
      </c>
      <c r="U44" t="str">
        <f t="shared" si="1"/>
        <v>A92BC1</v>
      </c>
      <c r="V44">
        <v>0</v>
      </c>
      <c r="W44">
        <v>0</v>
      </c>
      <c r="X44">
        <v>2</v>
      </c>
      <c r="Z44">
        <v>0</v>
      </c>
      <c r="AA44">
        <v>9</v>
      </c>
      <c r="AB44">
        <v>3</v>
      </c>
      <c r="AC44">
        <v>0</v>
      </c>
      <c r="AD44">
        <v>10</v>
      </c>
      <c r="AE44">
        <v>0</v>
      </c>
      <c r="AF44">
        <v>0</v>
      </c>
      <c r="AG44">
        <v>2</v>
      </c>
      <c r="AH44">
        <v>0</v>
      </c>
      <c r="AI44" t="s">
        <v>153</v>
      </c>
      <c r="AJ44">
        <v>45.630704999999999</v>
      </c>
      <c r="AK44" t="s">
        <v>154</v>
      </c>
      <c r="AL44">
        <v>-89.494028</v>
      </c>
      <c r="AM44">
        <v>100</v>
      </c>
      <c r="AN44">
        <v>2200</v>
      </c>
      <c r="AO44" t="s">
        <v>118</v>
      </c>
      <c r="AP44">
        <v>-140</v>
      </c>
      <c r="AQ44">
        <v>29</v>
      </c>
      <c r="AR44">
        <v>2176</v>
      </c>
      <c r="AZ44">
        <v>1200</v>
      </c>
      <c r="BA44">
        <v>1</v>
      </c>
      <c r="BB44" t="str">
        <f t="shared" si="6"/>
        <v xml:space="preserve">N690LS  </v>
      </c>
      <c r="BC44">
        <v>1</v>
      </c>
      <c r="BE44">
        <v>0</v>
      </c>
      <c r="BF44">
        <v>0</v>
      </c>
      <c r="BG44">
        <v>0</v>
      </c>
      <c r="BH44">
        <v>2200</v>
      </c>
      <c r="BI44">
        <v>1</v>
      </c>
      <c r="BJ44">
        <v>1</v>
      </c>
      <c r="BK44">
        <v>1</v>
      </c>
      <c r="BL44">
        <v>0</v>
      </c>
      <c r="BO44">
        <v>0</v>
      </c>
      <c r="BP44">
        <v>0</v>
      </c>
      <c r="BW44" t="str">
        <f>"13:50:50.126"</f>
        <v>13:50:50.126</v>
      </c>
      <c r="CJ44">
        <v>0</v>
      </c>
      <c r="CK44">
        <v>2</v>
      </c>
      <c r="CL44">
        <v>0</v>
      </c>
      <c r="CM44">
        <v>2</v>
      </c>
      <c r="CN44">
        <v>0</v>
      </c>
      <c r="CO44">
        <v>5</v>
      </c>
      <c r="CP44" t="s">
        <v>119</v>
      </c>
      <c r="CQ44">
        <v>181</v>
      </c>
      <c r="CR44">
        <v>0</v>
      </c>
      <c r="CW44">
        <v>7672172</v>
      </c>
      <c r="CY44">
        <v>0</v>
      </c>
      <c r="CZ44">
        <v>0</v>
      </c>
      <c r="DA44">
        <v>1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</v>
      </c>
      <c r="DI44">
        <v>0</v>
      </c>
    </row>
    <row r="45" spans="1:113" x14ac:dyDescent="0.3">
      <c r="A45" t="str">
        <f>"09/28/2021 13:50:51.320"</f>
        <v>09/28/2021 13:50:51.320</v>
      </c>
      <c r="C45" t="str">
        <f t="shared" si="5"/>
        <v>FFDFD3C0</v>
      </c>
      <c r="D45" t="s">
        <v>120</v>
      </c>
      <c r="E45">
        <v>12</v>
      </c>
      <c r="F45">
        <v>1012</v>
      </c>
      <c r="G45" t="s">
        <v>114</v>
      </c>
      <c r="J45" t="s">
        <v>121</v>
      </c>
      <c r="K45">
        <v>0</v>
      </c>
      <c r="L45">
        <v>3</v>
      </c>
      <c r="M45">
        <v>0</v>
      </c>
      <c r="N45">
        <v>2</v>
      </c>
      <c r="O45">
        <v>1</v>
      </c>
      <c r="P45">
        <v>0</v>
      </c>
      <c r="Q45">
        <v>0</v>
      </c>
      <c r="S45" t="str">
        <f>"13:50:51.125"</f>
        <v>13:50:51.125</v>
      </c>
      <c r="T45" t="str">
        <f>"13:50:50.625"</f>
        <v>13:50:50.625</v>
      </c>
      <c r="U45" t="str">
        <f t="shared" si="1"/>
        <v>A92BC1</v>
      </c>
      <c r="V45">
        <v>0</v>
      </c>
      <c r="W45">
        <v>0</v>
      </c>
      <c r="X45">
        <v>2</v>
      </c>
      <c r="Z45">
        <v>0</v>
      </c>
      <c r="AA45">
        <v>9</v>
      </c>
      <c r="AB45">
        <v>3</v>
      </c>
      <c r="AC45">
        <v>0</v>
      </c>
      <c r="AD45">
        <v>10</v>
      </c>
      <c r="AE45">
        <v>0</v>
      </c>
      <c r="AF45">
        <v>0</v>
      </c>
      <c r="AG45">
        <v>2</v>
      </c>
      <c r="AH45">
        <v>0</v>
      </c>
      <c r="AI45" t="s">
        <v>155</v>
      </c>
      <c r="AJ45">
        <v>45.630941</v>
      </c>
      <c r="AK45" t="s">
        <v>156</v>
      </c>
      <c r="AL45">
        <v>-89.494972000000004</v>
      </c>
      <c r="AM45">
        <v>100</v>
      </c>
      <c r="AN45">
        <v>2200</v>
      </c>
      <c r="AO45" t="s">
        <v>118</v>
      </c>
      <c r="AP45">
        <v>-139</v>
      </c>
      <c r="AQ45">
        <v>42</v>
      </c>
      <c r="AR45">
        <v>2176</v>
      </c>
      <c r="AZ45">
        <v>1200</v>
      </c>
      <c r="BA45">
        <v>1</v>
      </c>
      <c r="BB45" t="str">
        <f t="shared" si="6"/>
        <v xml:space="preserve">N690LS  </v>
      </c>
      <c r="BC45">
        <v>1</v>
      </c>
      <c r="BE45">
        <v>0</v>
      </c>
      <c r="BF45">
        <v>0</v>
      </c>
      <c r="BG45">
        <v>0</v>
      </c>
      <c r="BH45">
        <v>2250</v>
      </c>
      <c r="BI45">
        <v>1</v>
      </c>
      <c r="BJ45">
        <v>1</v>
      </c>
      <c r="BK45">
        <v>1</v>
      </c>
      <c r="BL45">
        <v>0</v>
      </c>
      <c r="BO45">
        <v>0</v>
      </c>
      <c r="BP45">
        <v>0</v>
      </c>
      <c r="BW45" t="str">
        <f>"13:50:51.128"</f>
        <v>13:50:51.128</v>
      </c>
      <c r="CJ45">
        <v>0</v>
      </c>
      <c r="CK45">
        <v>2</v>
      </c>
      <c r="CL45">
        <v>0</v>
      </c>
      <c r="CM45">
        <v>2</v>
      </c>
      <c r="CN45">
        <v>0</v>
      </c>
      <c r="CO45">
        <v>7</v>
      </c>
      <c r="CP45" t="s">
        <v>119</v>
      </c>
      <c r="CQ45">
        <v>197</v>
      </c>
      <c r="CR45">
        <v>2</v>
      </c>
      <c r="CW45">
        <v>2107816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0</v>
      </c>
      <c r="DG45">
        <v>0</v>
      </c>
      <c r="DH45">
        <v>0</v>
      </c>
      <c r="DI45">
        <v>0</v>
      </c>
    </row>
    <row r="46" spans="1:113" x14ac:dyDescent="0.3">
      <c r="A46" t="str">
        <f>"09/28/2021 13:50:51.304"</f>
        <v>09/28/2021 13:50:51.304</v>
      </c>
      <c r="C46" t="str">
        <f t="shared" si="5"/>
        <v>FFDFD3C0</v>
      </c>
      <c r="D46" t="s">
        <v>113</v>
      </c>
      <c r="E46">
        <v>7</v>
      </c>
      <c r="H46">
        <v>170</v>
      </c>
      <c r="I46" t="s">
        <v>114</v>
      </c>
      <c r="J46" t="s">
        <v>115</v>
      </c>
      <c r="K46">
        <v>0</v>
      </c>
      <c r="L46">
        <v>3</v>
      </c>
      <c r="M46">
        <v>0</v>
      </c>
      <c r="N46">
        <v>2</v>
      </c>
      <c r="O46">
        <v>1</v>
      </c>
      <c r="P46">
        <v>0</v>
      </c>
      <c r="Q46">
        <v>0</v>
      </c>
      <c r="S46" t="str">
        <f>"13:50:51.125"</f>
        <v>13:50:51.125</v>
      </c>
      <c r="T46" t="str">
        <f>"13:50:50.625"</f>
        <v>13:50:50.625</v>
      </c>
      <c r="U46" t="str">
        <f t="shared" si="1"/>
        <v>A92BC1</v>
      </c>
      <c r="V46">
        <v>0</v>
      </c>
      <c r="W46">
        <v>0</v>
      </c>
      <c r="X46">
        <v>2</v>
      </c>
      <c r="Z46">
        <v>0</v>
      </c>
      <c r="AA46">
        <v>9</v>
      </c>
      <c r="AB46">
        <v>3</v>
      </c>
      <c r="AC46">
        <v>0</v>
      </c>
      <c r="AD46">
        <v>10</v>
      </c>
      <c r="AE46">
        <v>0</v>
      </c>
      <c r="AF46">
        <v>0</v>
      </c>
      <c r="AG46">
        <v>2</v>
      </c>
      <c r="AH46">
        <v>0</v>
      </c>
      <c r="AI46" t="s">
        <v>155</v>
      </c>
      <c r="AJ46">
        <v>45.630941</v>
      </c>
      <c r="AK46" t="s">
        <v>156</v>
      </c>
      <c r="AL46">
        <v>-89.494972000000004</v>
      </c>
      <c r="AM46">
        <v>100</v>
      </c>
      <c r="AN46">
        <v>2200</v>
      </c>
      <c r="AO46" t="s">
        <v>118</v>
      </c>
      <c r="AP46">
        <v>-139</v>
      </c>
      <c r="AQ46">
        <v>42</v>
      </c>
      <c r="AR46">
        <v>2176</v>
      </c>
      <c r="AZ46">
        <v>1200</v>
      </c>
      <c r="BA46">
        <v>1</v>
      </c>
      <c r="BB46" t="str">
        <f t="shared" si="6"/>
        <v xml:space="preserve">N690LS  </v>
      </c>
      <c r="BC46">
        <v>1</v>
      </c>
      <c r="BE46">
        <v>0</v>
      </c>
      <c r="BF46">
        <v>0</v>
      </c>
      <c r="BG46">
        <v>0</v>
      </c>
      <c r="BH46">
        <v>2250</v>
      </c>
      <c r="BI46">
        <v>1</v>
      </c>
      <c r="BJ46">
        <v>1</v>
      </c>
      <c r="BK46">
        <v>1</v>
      </c>
      <c r="BL46">
        <v>0</v>
      </c>
      <c r="BO46">
        <v>0</v>
      </c>
      <c r="BP46">
        <v>0</v>
      </c>
      <c r="BW46" t="str">
        <f>"13:50:51.128"</f>
        <v>13:50:51.128</v>
      </c>
      <c r="CJ46">
        <v>0</v>
      </c>
      <c r="CK46">
        <v>2</v>
      </c>
      <c r="CL46">
        <v>0</v>
      </c>
      <c r="CM46">
        <v>2</v>
      </c>
      <c r="CN46">
        <v>0</v>
      </c>
      <c r="CO46">
        <v>7</v>
      </c>
      <c r="CP46" t="s">
        <v>119</v>
      </c>
      <c r="CQ46">
        <v>197</v>
      </c>
      <c r="CR46">
        <v>2</v>
      </c>
      <c r="CW46">
        <v>2107816</v>
      </c>
      <c r="CY46">
        <v>0</v>
      </c>
      <c r="CZ46">
        <v>0</v>
      </c>
      <c r="DA46">
        <v>1</v>
      </c>
      <c r="DB46">
        <v>0</v>
      </c>
      <c r="DC46">
        <v>0</v>
      </c>
      <c r="DD46">
        <v>0</v>
      </c>
      <c r="DE46">
        <v>0</v>
      </c>
      <c r="DF46">
        <v>0</v>
      </c>
      <c r="DG46">
        <v>0</v>
      </c>
      <c r="DH46">
        <v>0</v>
      </c>
      <c r="DI46">
        <v>0</v>
      </c>
    </row>
    <row r="47" spans="1:113" x14ac:dyDescent="0.3">
      <c r="A47" t="str">
        <f>"09/28/2021 13:50:52.221"</f>
        <v>09/28/2021 13:50:52.221</v>
      </c>
      <c r="C47" t="str">
        <f t="shared" si="5"/>
        <v>FFDFD3C0</v>
      </c>
      <c r="D47" t="s">
        <v>113</v>
      </c>
      <c r="E47">
        <v>7</v>
      </c>
      <c r="H47">
        <v>170</v>
      </c>
      <c r="I47" t="s">
        <v>114</v>
      </c>
      <c r="J47" t="s">
        <v>115</v>
      </c>
      <c r="K47">
        <v>0</v>
      </c>
      <c r="L47">
        <v>3</v>
      </c>
      <c r="M47">
        <v>0</v>
      </c>
      <c r="N47">
        <v>2</v>
      </c>
      <c r="O47">
        <v>1</v>
      </c>
      <c r="P47">
        <v>0</v>
      </c>
      <c r="Q47">
        <v>0</v>
      </c>
      <c r="S47" t="str">
        <f>"13:50:52.023"</f>
        <v>13:50:52.023</v>
      </c>
      <c r="T47" t="str">
        <f>"13:50:51.623"</f>
        <v>13:50:51.623</v>
      </c>
      <c r="U47" t="str">
        <f t="shared" si="1"/>
        <v>A92BC1</v>
      </c>
      <c r="V47">
        <v>0</v>
      </c>
      <c r="W47">
        <v>0</v>
      </c>
      <c r="X47">
        <v>2</v>
      </c>
      <c r="Z47">
        <v>0</v>
      </c>
      <c r="AA47">
        <v>9</v>
      </c>
      <c r="AB47">
        <v>3</v>
      </c>
      <c r="AC47">
        <v>0</v>
      </c>
      <c r="AD47">
        <v>10</v>
      </c>
      <c r="AE47">
        <v>0</v>
      </c>
      <c r="AF47">
        <v>0</v>
      </c>
      <c r="AG47">
        <v>2</v>
      </c>
      <c r="AH47">
        <v>0</v>
      </c>
      <c r="AI47" t="s">
        <v>157</v>
      </c>
      <c r="AJ47">
        <v>45.631155999999997</v>
      </c>
      <c r="AK47" t="s">
        <v>158</v>
      </c>
      <c r="AL47">
        <v>-89.495722999999998</v>
      </c>
      <c r="AM47">
        <v>100</v>
      </c>
      <c r="AN47">
        <v>2300</v>
      </c>
      <c r="AO47" t="s">
        <v>118</v>
      </c>
      <c r="AP47">
        <v>-136</v>
      </c>
      <c r="AQ47">
        <v>54</v>
      </c>
      <c r="AR47">
        <v>2176</v>
      </c>
      <c r="AZ47">
        <v>1200</v>
      </c>
      <c r="BA47">
        <v>1</v>
      </c>
      <c r="BB47" t="str">
        <f t="shared" si="6"/>
        <v xml:space="preserve">N690LS  </v>
      </c>
      <c r="BC47">
        <v>1</v>
      </c>
      <c r="BE47">
        <v>0</v>
      </c>
      <c r="BF47">
        <v>0</v>
      </c>
      <c r="BG47">
        <v>0</v>
      </c>
      <c r="BH47">
        <v>2275</v>
      </c>
      <c r="BI47">
        <v>1</v>
      </c>
      <c r="BJ47">
        <v>1</v>
      </c>
      <c r="BK47">
        <v>1</v>
      </c>
      <c r="BL47">
        <v>0</v>
      </c>
      <c r="BO47">
        <v>0</v>
      </c>
      <c r="BP47">
        <v>0</v>
      </c>
      <c r="BW47" t="str">
        <f>"13:50:52.030"</f>
        <v>13:50:52.030</v>
      </c>
      <c r="CJ47">
        <v>0</v>
      </c>
      <c r="CK47">
        <v>2</v>
      </c>
      <c r="CL47">
        <v>0</v>
      </c>
      <c r="CM47">
        <v>2</v>
      </c>
      <c r="CN47">
        <v>0</v>
      </c>
      <c r="CO47">
        <v>5</v>
      </c>
      <c r="CP47" t="s">
        <v>119</v>
      </c>
      <c r="CQ47">
        <v>181</v>
      </c>
      <c r="CR47">
        <v>0</v>
      </c>
      <c r="CW47">
        <v>7674973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0</v>
      </c>
      <c r="DH47">
        <v>0</v>
      </c>
      <c r="DI47">
        <v>0</v>
      </c>
    </row>
    <row r="48" spans="1:113" x14ac:dyDescent="0.3">
      <c r="A48" t="str">
        <f>"09/28/2021 13:50:52.221"</f>
        <v>09/28/2021 13:50:52.221</v>
      </c>
      <c r="C48" t="str">
        <f t="shared" si="5"/>
        <v>FFDFD3C0</v>
      </c>
      <c r="D48" t="s">
        <v>120</v>
      </c>
      <c r="E48">
        <v>12</v>
      </c>
      <c r="F48">
        <v>1012</v>
      </c>
      <c r="G48" t="s">
        <v>114</v>
      </c>
      <c r="J48" t="s">
        <v>121</v>
      </c>
      <c r="K48">
        <v>0</v>
      </c>
      <c r="L48">
        <v>3</v>
      </c>
      <c r="M48">
        <v>0</v>
      </c>
      <c r="N48">
        <v>2</v>
      </c>
      <c r="O48">
        <v>1</v>
      </c>
      <c r="P48">
        <v>0</v>
      </c>
      <c r="Q48">
        <v>0</v>
      </c>
      <c r="S48" t="str">
        <f>"13:50:52.023"</f>
        <v>13:50:52.023</v>
      </c>
      <c r="T48" t="str">
        <f>"13:50:51.623"</f>
        <v>13:50:51.623</v>
      </c>
      <c r="U48" t="str">
        <f t="shared" si="1"/>
        <v>A92BC1</v>
      </c>
      <c r="V48">
        <v>0</v>
      </c>
      <c r="W48">
        <v>0</v>
      </c>
      <c r="X48">
        <v>2</v>
      </c>
      <c r="Z48">
        <v>0</v>
      </c>
      <c r="AA48">
        <v>9</v>
      </c>
      <c r="AB48">
        <v>3</v>
      </c>
      <c r="AC48">
        <v>0</v>
      </c>
      <c r="AD48">
        <v>10</v>
      </c>
      <c r="AE48">
        <v>0</v>
      </c>
      <c r="AF48">
        <v>0</v>
      </c>
      <c r="AG48">
        <v>2</v>
      </c>
      <c r="AH48">
        <v>0</v>
      </c>
      <c r="AI48" t="s">
        <v>157</v>
      </c>
      <c r="AJ48">
        <v>45.631155999999997</v>
      </c>
      <c r="AK48" t="s">
        <v>158</v>
      </c>
      <c r="AL48">
        <v>-89.495722999999998</v>
      </c>
      <c r="AM48">
        <v>100</v>
      </c>
      <c r="AN48">
        <v>2300</v>
      </c>
      <c r="AO48" t="s">
        <v>118</v>
      </c>
      <c r="AP48">
        <v>-136</v>
      </c>
      <c r="AQ48">
        <v>54</v>
      </c>
      <c r="AR48">
        <v>2176</v>
      </c>
      <c r="AZ48">
        <v>1200</v>
      </c>
      <c r="BA48">
        <v>1</v>
      </c>
      <c r="BB48" t="str">
        <f t="shared" si="6"/>
        <v xml:space="preserve">N690LS  </v>
      </c>
      <c r="BC48">
        <v>1</v>
      </c>
      <c r="BE48">
        <v>0</v>
      </c>
      <c r="BF48">
        <v>0</v>
      </c>
      <c r="BG48">
        <v>0</v>
      </c>
      <c r="BH48">
        <v>2275</v>
      </c>
      <c r="BI48">
        <v>1</v>
      </c>
      <c r="BJ48">
        <v>1</v>
      </c>
      <c r="BK48">
        <v>1</v>
      </c>
      <c r="BL48">
        <v>0</v>
      </c>
      <c r="BO48">
        <v>0</v>
      </c>
      <c r="BP48">
        <v>0</v>
      </c>
      <c r="BW48" t="str">
        <f>"13:50:52.030"</f>
        <v>13:50:52.030</v>
      </c>
      <c r="CJ48">
        <v>0</v>
      </c>
      <c r="CK48">
        <v>2</v>
      </c>
      <c r="CL48">
        <v>0</v>
      </c>
      <c r="CM48">
        <v>2</v>
      </c>
      <c r="CN48">
        <v>0</v>
      </c>
      <c r="CO48">
        <v>5</v>
      </c>
      <c r="CP48" t="s">
        <v>119</v>
      </c>
      <c r="CQ48">
        <v>181</v>
      </c>
      <c r="CR48">
        <v>0</v>
      </c>
      <c r="CW48">
        <v>7674973</v>
      </c>
      <c r="CY48">
        <v>0</v>
      </c>
      <c r="CZ48">
        <v>0</v>
      </c>
      <c r="DA48">
        <v>1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</row>
    <row r="49" spans="1:113" x14ac:dyDescent="0.3">
      <c r="A49" t="str">
        <f>"09/28/2021 13:50:53.080"</f>
        <v>09/28/2021 13:50:53.080</v>
      </c>
      <c r="C49" t="str">
        <f t="shared" si="5"/>
        <v>FFDFD3C0</v>
      </c>
      <c r="D49" t="s">
        <v>120</v>
      </c>
      <c r="E49">
        <v>12</v>
      </c>
      <c r="F49">
        <v>1012</v>
      </c>
      <c r="G49" t="s">
        <v>114</v>
      </c>
      <c r="J49" t="s">
        <v>121</v>
      </c>
      <c r="K49">
        <v>0</v>
      </c>
      <c r="L49">
        <v>3</v>
      </c>
      <c r="M49">
        <v>0</v>
      </c>
      <c r="N49">
        <v>2</v>
      </c>
      <c r="O49">
        <v>1</v>
      </c>
      <c r="P49">
        <v>0</v>
      </c>
      <c r="Q49">
        <v>0</v>
      </c>
      <c r="S49" t="str">
        <f>"13:50:52.891"</f>
        <v>13:50:52.891</v>
      </c>
      <c r="T49" t="str">
        <f>"13:50:52.491"</f>
        <v>13:50:52.491</v>
      </c>
      <c r="U49" t="str">
        <f t="shared" si="1"/>
        <v>A92BC1</v>
      </c>
      <c r="V49">
        <v>0</v>
      </c>
      <c r="W49">
        <v>0</v>
      </c>
      <c r="X49">
        <v>2</v>
      </c>
      <c r="Z49">
        <v>0</v>
      </c>
      <c r="AA49">
        <v>9</v>
      </c>
      <c r="AB49">
        <v>3</v>
      </c>
      <c r="AC49">
        <v>0</v>
      </c>
      <c r="AD49">
        <v>10</v>
      </c>
      <c r="AE49">
        <v>0</v>
      </c>
      <c r="AF49">
        <v>0</v>
      </c>
      <c r="AG49">
        <v>2</v>
      </c>
      <c r="AH49">
        <v>0</v>
      </c>
      <c r="AI49" t="s">
        <v>159</v>
      </c>
      <c r="AJ49">
        <v>45.631391999999998</v>
      </c>
      <c r="AK49" t="s">
        <v>160</v>
      </c>
      <c r="AL49">
        <v>-89.496474000000006</v>
      </c>
      <c r="AM49">
        <v>100</v>
      </c>
      <c r="AN49">
        <v>2300</v>
      </c>
      <c r="AO49" t="s">
        <v>118</v>
      </c>
      <c r="AP49">
        <v>-133</v>
      </c>
      <c r="AQ49">
        <v>62</v>
      </c>
      <c r="AR49">
        <v>2176</v>
      </c>
      <c r="AZ49">
        <v>1200</v>
      </c>
      <c r="BA49">
        <v>1</v>
      </c>
      <c r="BB49" t="str">
        <f t="shared" si="6"/>
        <v xml:space="preserve">N690LS  </v>
      </c>
      <c r="BC49">
        <v>1</v>
      </c>
      <c r="BE49">
        <v>0</v>
      </c>
      <c r="BF49">
        <v>0</v>
      </c>
      <c r="BG49">
        <v>0</v>
      </c>
      <c r="BH49">
        <v>2325</v>
      </c>
      <c r="BI49">
        <v>1</v>
      </c>
      <c r="BJ49">
        <v>1</v>
      </c>
      <c r="BK49">
        <v>1</v>
      </c>
      <c r="BL49">
        <v>0</v>
      </c>
      <c r="BO49">
        <v>0</v>
      </c>
      <c r="BP49">
        <v>0</v>
      </c>
      <c r="BW49" t="str">
        <f>"13:50:52.891"</f>
        <v>13:50:52.891</v>
      </c>
      <c r="CJ49">
        <v>0</v>
      </c>
      <c r="CK49">
        <v>2</v>
      </c>
      <c r="CL49">
        <v>0</v>
      </c>
      <c r="CM49">
        <v>2</v>
      </c>
      <c r="CN49">
        <v>0</v>
      </c>
      <c r="CO49">
        <v>5</v>
      </c>
      <c r="CP49" t="s">
        <v>119</v>
      </c>
      <c r="CQ49">
        <v>181</v>
      </c>
      <c r="CR49">
        <v>0</v>
      </c>
      <c r="CW49">
        <v>7676208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0</v>
      </c>
      <c r="DE49">
        <v>0</v>
      </c>
      <c r="DF49">
        <v>0</v>
      </c>
      <c r="DG49">
        <v>0</v>
      </c>
      <c r="DH49">
        <v>0</v>
      </c>
      <c r="DI49">
        <v>0</v>
      </c>
    </row>
    <row r="50" spans="1:113" x14ac:dyDescent="0.3">
      <c r="A50" t="str">
        <f>"09/28/2021 13:50:53.160"</f>
        <v>09/28/2021 13:50:53.160</v>
      </c>
      <c r="C50" t="str">
        <f t="shared" si="5"/>
        <v>FFDFD3C0</v>
      </c>
      <c r="D50" t="s">
        <v>113</v>
      </c>
      <c r="E50">
        <v>7</v>
      </c>
      <c r="H50">
        <v>170</v>
      </c>
      <c r="I50" t="s">
        <v>114</v>
      </c>
      <c r="J50" t="s">
        <v>115</v>
      </c>
      <c r="K50">
        <v>0</v>
      </c>
      <c r="L50">
        <v>3</v>
      </c>
      <c r="M50">
        <v>0</v>
      </c>
      <c r="N50">
        <v>2</v>
      </c>
      <c r="O50">
        <v>1</v>
      </c>
      <c r="P50">
        <v>0</v>
      </c>
      <c r="Q50">
        <v>0</v>
      </c>
      <c r="S50" t="str">
        <f>"13:50:52.891"</f>
        <v>13:50:52.891</v>
      </c>
      <c r="T50" t="str">
        <f>"13:50:52.491"</f>
        <v>13:50:52.491</v>
      </c>
      <c r="U50" t="str">
        <f t="shared" si="1"/>
        <v>A92BC1</v>
      </c>
      <c r="V50">
        <v>0</v>
      </c>
      <c r="W50">
        <v>0</v>
      </c>
      <c r="X50">
        <v>2</v>
      </c>
      <c r="Z50">
        <v>0</v>
      </c>
      <c r="AA50">
        <v>9</v>
      </c>
      <c r="AB50">
        <v>3</v>
      </c>
      <c r="AC50">
        <v>0</v>
      </c>
      <c r="AD50">
        <v>10</v>
      </c>
      <c r="AE50">
        <v>0</v>
      </c>
      <c r="AF50">
        <v>0</v>
      </c>
      <c r="AG50">
        <v>2</v>
      </c>
      <c r="AH50">
        <v>0</v>
      </c>
      <c r="AI50" t="s">
        <v>159</v>
      </c>
      <c r="AJ50">
        <v>45.631391999999998</v>
      </c>
      <c r="AK50" t="s">
        <v>160</v>
      </c>
      <c r="AL50">
        <v>-89.496474000000006</v>
      </c>
      <c r="AM50">
        <v>100</v>
      </c>
      <c r="AN50">
        <v>2300</v>
      </c>
      <c r="AO50" t="s">
        <v>118</v>
      </c>
      <c r="AP50">
        <v>-133</v>
      </c>
      <c r="AQ50">
        <v>62</v>
      </c>
      <c r="AR50">
        <v>2176</v>
      </c>
      <c r="AZ50">
        <v>1200</v>
      </c>
      <c r="BA50">
        <v>1</v>
      </c>
      <c r="BB50" t="str">
        <f t="shared" si="6"/>
        <v xml:space="preserve">N690LS  </v>
      </c>
      <c r="BC50">
        <v>1</v>
      </c>
      <c r="BE50">
        <v>0</v>
      </c>
      <c r="BF50">
        <v>0</v>
      </c>
      <c r="BG50">
        <v>0</v>
      </c>
      <c r="BH50">
        <v>2325</v>
      </c>
      <c r="BI50">
        <v>1</v>
      </c>
      <c r="BJ50">
        <v>1</v>
      </c>
      <c r="BK50">
        <v>1</v>
      </c>
      <c r="BL50">
        <v>0</v>
      </c>
      <c r="BO50">
        <v>0</v>
      </c>
      <c r="BP50">
        <v>0</v>
      </c>
      <c r="BW50" t="str">
        <f>"13:50:52.891"</f>
        <v>13:50:52.891</v>
      </c>
      <c r="CJ50">
        <v>0</v>
      </c>
      <c r="CK50">
        <v>2</v>
      </c>
      <c r="CL50">
        <v>0</v>
      </c>
      <c r="CM50">
        <v>2</v>
      </c>
      <c r="CN50">
        <v>0</v>
      </c>
      <c r="CO50">
        <v>5</v>
      </c>
      <c r="CP50" t="s">
        <v>119</v>
      </c>
      <c r="CQ50">
        <v>181</v>
      </c>
      <c r="CR50">
        <v>0</v>
      </c>
      <c r="CW50">
        <v>7676208</v>
      </c>
      <c r="CY50">
        <v>0</v>
      </c>
      <c r="CZ50">
        <v>0</v>
      </c>
      <c r="DA50">
        <v>1</v>
      </c>
      <c r="DB50">
        <v>0</v>
      </c>
      <c r="DC50">
        <v>0</v>
      </c>
      <c r="DD50">
        <v>0</v>
      </c>
      <c r="DE50">
        <v>0</v>
      </c>
      <c r="DF50">
        <v>0</v>
      </c>
      <c r="DG50">
        <v>0</v>
      </c>
      <c r="DH50">
        <v>0</v>
      </c>
      <c r="DI50">
        <v>0</v>
      </c>
    </row>
    <row r="51" spans="1:113" x14ac:dyDescent="0.3">
      <c r="A51" t="str">
        <f>"09/28/2021 13:50:54.082"</f>
        <v>09/28/2021 13:50:54.082</v>
      </c>
      <c r="C51" t="str">
        <f t="shared" si="5"/>
        <v>FFDFD3C0</v>
      </c>
      <c r="D51" t="s">
        <v>113</v>
      </c>
      <c r="E51">
        <v>7</v>
      </c>
      <c r="H51">
        <v>170</v>
      </c>
      <c r="I51" t="s">
        <v>114</v>
      </c>
      <c r="J51" t="s">
        <v>115</v>
      </c>
      <c r="K51">
        <v>0</v>
      </c>
      <c r="L51">
        <v>3</v>
      </c>
      <c r="M51">
        <v>0</v>
      </c>
      <c r="N51">
        <v>2</v>
      </c>
      <c r="O51">
        <v>1</v>
      </c>
      <c r="P51">
        <v>0</v>
      </c>
      <c r="Q51">
        <v>0</v>
      </c>
      <c r="S51" t="str">
        <f>"13:50:53.898"</f>
        <v>13:50:53.898</v>
      </c>
      <c r="T51" t="str">
        <f>"13:50:53.398"</f>
        <v>13:50:53.398</v>
      </c>
      <c r="U51" t="str">
        <f t="shared" si="1"/>
        <v>A92BC1</v>
      </c>
      <c r="V51">
        <v>0</v>
      </c>
      <c r="W51">
        <v>0</v>
      </c>
      <c r="X51">
        <v>2</v>
      </c>
      <c r="Z51">
        <v>0</v>
      </c>
      <c r="AA51">
        <v>9</v>
      </c>
      <c r="AB51">
        <v>3</v>
      </c>
      <c r="AC51">
        <v>0</v>
      </c>
      <c r="AD51">
        <v>10</v>
      </c>
      <c r="AE51">
        <v>0</v>
      </c>
      <c r="AF51">
        <v>3</v>
      </c>
      <c r="AG51">
        <v>2</v>
      </c>
      <c r="AH51">
        <v>0</v>
      </c>
      <c r="AI51" t="s">
        <v>161</v>
      </c>
      <c r="AJ51">
        <v>45.631714000000002</v>
      </c>
      <c r="AK51" t="s">
        <v>162</v>
      </c>
      <c r="AL51">
        <v>-89.497310999999996</v>
      </c>
      <c r="AM51">
        <v>100</v>
      </c>
      <c r="AN51">
        <v>2300</v>
      </c>
      <c r="AO51" t="s">
        <v>118</v>
      </c>
      <c r="AP51">
        <v>-131</v>
      </c>
      <c r="AQ51">
        <v>69</v>
      </c>
      <c r="AR51">
        <v>2240</v>
      </c>
      <c r="AZ51">
        <v>1200</v>
      </c>
      <c r="BA51">
        <v>1</v>
      </c>
      <c r="BB51" t="str">
        <f t="shared" si="6"/>
        <v xml:space="preserve">N690LS  </v>
      </c>
      <c r="BC51">
        <v>1</v>
      </c>
      <c r="BE51">
        <v>0</v>
      </c>
      <c r="BF51">
        <v>0</v>
      </c>
      <c r="BG51">
        <v>0</v>
      </c>
      <c r="BH51">
        <v>2350</v>
      </c>
      <c r="BI51">
        <v>1</v>
      </c>
      <c r="BJ51">
        <v>1</v>
      </c>
      <c r="BK51">
        <v>1</v>
      </c>
      <c r="BL51">
        <v>0</v>
      </c>
      <c r="BO51">
        <v>0</v>
      </c>
      <c r="BP51">
        <v>0</v>
      </c>
      <c r="BW51" t="str">
        <f>"13:50:53.901"</f>
        <v>13:50:53.901</v>
      </c>
      <c r="CJ51">
        <v>0</v>
      </c>
      <c r="CK51">
        <v>2</v>
      </c>
      <c r="CL51">
        <v>0</v>
      </c>
      <c r="CM51">
        <v>2</v>
      </c>
      <c r="CN51">
        <v>0</v>
      </c>
      <c r="CO51">
        <v>7</v>
      </c>
      <c r="CP51" t="s">
        <v>119</v>
      </c>
      <c r="CQ51">
        <v>197</v>
      </c>
      <c r="CR51">
        <v>2</v>
      </c>
      <c r="CW51">
        <v>2110372</v>
      </c>
      <c r="CY51">
        <v>0</v>
      </c>
      <c r="CZ51">
        <v>0</v>
      </c>
      <c r="DA51">
        <v>0</v>
      </c>
      <c r="DB51">
        <v>0</v>
      </c>
      <c r="DC51">
        <v>0</v>
      </c>
      <c r="DD51">
        <v>0</v>
      </c>
      <c r="DE51">
        <v>0</v>
      </c>
      <c r="DF51">
        <v>0</v>
      </c>
      <c r="DG51">
        <v>0</v>
      </c>
      <c r="DH51">
        <v>0</v>
      </c>
      <c r="DI51">
        <v>0</v>
      </c>
    </row>
    <row r="52" spans="1:113" x14ac:dyDescent="0.3">
      <c r="A52" t="str">
        <f>"09/28/2021 13:50:54.097"</f>
        <v>09/28/2021 13:50:54.097</v>
      </c>
      <c r="C52" t="str">
        <f t="shared" si="5"/>
        <v>FFDFD3C0</v>
      </c>
      <c r="D52" t="s">
        <v>120</v>
      </c>
      <c r="E52">
        <v>12</v>
      </c>
      <c r="F52">
        <v>1012</v>
      </c>
      <c r="G52" t="s">
        <v>114</v>
      </c>
      <c r="J52" t="s">
        <v>121</v>
      </c>
      <c r="K52">
        <v>0</v>
      </c>
      <c r="L52">
        <v>3</v>
      </c>
      <c r="M52">
        <v>0</v>
      </c>
      <c r="N52">
        <v>2</v>
      </c>
      <c r="O52">
        <v>1</v>
      </c>
      <c r="P52">
        <v>0</v>
      </c>
      <c r="Q52">
        <v>0</v>
      </c>
      <c r="S52" t="str">
        <f>"13:50:53.898"</f>
        <v>13:50:53.898</v>
      </c>
      <c r="T52" t="str">
        <f>"13:50:53.398"</f>
        <v>13:50:53.398</v>
      </c>
      <c r="U52" t="str">
        <f t="shared" si="1"/>
        <v>A92BC1</v>
      </c>
      <c r="V52">
        <v>0</v>
      </c>
      <c r="W52">
        <v>0</v>
      </c>
      <c r="X52">
        <v>2</v>
      </c>
      <c r="Z52">
        <v>0</v>
      </c>
      <c r="AA52">
        <v>9</v>
      </c>
      <c r="AB52">
        <v>3</v>
      </c>
      <c r="AC52">
        <v>0</v>
      </c>
      <c r="AD52">
        <v>10</v>
      </c>
      <c r="AE52">
        <v>0</v>
      </c>
      <c r="AF52">
        <v>3</v>
      </c>
      <c r="AG52">
        <v>2</v>
      </c>
      <c r="AH52">
        <v>0</v>
      </c>
      <c r="AI52" t="s">
        <v>161</v>
      </c>
      <c r="AJ52">
        <v>45.631714000000002</v>
      </c>
      <c r="AK52" t="s">
        <v>162</v>
      </c>
      <c r="AL52">
        <v>-89.497310999999996</v>
      </c>
      <c r="AM52">
        <v>100</v>
      </c>
      <c r="AN52">
        <v>2300</v>
      </c>
      <c r="AO52" t="s">
        <v>118</v>
      </c>
      <c r="AP52">
        <v>-131</v>
      </c>
      <c r="AQ52">
        <v>69</v>
      </c>
      <c r="AR52">
        <v>2240</v>
      </c>
      <c r="AZ52">
        <v>1200</v>
      </c>
      <c r="BA52">
        <v>1</v>
      </c>
      <c r="BB52" t="str">
        <f t="shared" si="6"/>
        <v xml:space="preserve">N690LS  </v>
      </c>
      <c r="BC52">
        <v>1</v>
      </c>
      <c r="BE52">
        <v>0</v>
      </c>
      <c r="BF52">
        <v>0</v>
      </c>
      <c r="BG52">
        <v>0</v>
      </c>
      <c r="BH52">
        <v>2350</v>
      </c>
      <c r="BI52">
        <v>1</v>
      </c>
      <c r="BJ52">
        <v>1</v>
      </c>
      <c r="BK52">
        <v>1</v>
      </c>
      <c r="BL52">
        <v>0</v>
      </c>
      <c r="BO52">
        <v>0</v>
      </c>
      <c r="BP52">
        <v>0</v>
      </c>
      <c r="BW52" t="str">
        <f>"13:50:53.901"</f>
        <v>13:50:53.901</v>
      </c>
      <c r="CJ52">
        <v>0</v>
      </c>
      <c r="CK52">
        <v>2</v>
      </c>
      <c r="CL52">
        <v>0</v>
      </c>
      <c r="CM52">
        <v>2</v>
      </c>
      <c r="CN52">
        <v>0</v>
      </c>
      <c r="CO52">
        <v>7</v>
      </c>
      <c r="CP52" t="s">
        <v>119</v>
      </c>
      <c r="CQ52">
        <v>197</v>
      </c>
      <c r="CR52">
        <v>2</v>
      </c>
      <c r="CW52">
        <v>2110372</v>
      </c>
      <c r="CY52">
        <v>0</v>
      </c>
      <c r="CZ52">
        <v>0</v>
      </c>
      <c r="DA52">
        <v>1</v>
      </c>
      <c r="DB52">
        <v>0</v>
      </c>
      <c r="DC52">
        <v>0</v>
      </c>
      <c r="DD52">
        <v>0</v>
      </c>
      <c r="DE52">
        <v>0</v>
      </c>
      <c r="DF52">
        <v>0</v>
      </c>
      <c r="DG52">
        <v>0</v>
      </c>
      <c r="DH52">
        <v>0</v>
      </c>
      <c r="DI52">
        <v>0</v>
      </c>
    </row>
    <row r="53" spans="1:113" x14ac:dyDescent="0.3">
      <c r="A53" t="str">
        <f>"09/28/2021 13:50:55.191"</f>
        <v>09/28/2021 13:50:55.191</v>
      </c>
      <c r="C53" t="str">
        <f t="shared" si="5"/>
        <v>FFDFD3C0</v>
      </c>
      <c r="D53" t="s">
        <v>113</v>
      </c>
      <c r="E53">
        <v>7</v>
      </c>
      <c r="H53">
        <v>170</v>
      </c>
      <c r="I53" t="s">
        <v>114</v>
      </c>
      <c r="J53" t="s">
        <v>115</v>
      </c>
      <c r="K53">
        <v>0</v>
      </c>
      <c r="L53">
        <v>3</v>
      </c>
      <c r="M53">
        <v>0</v>
      </c>
      <c r="N53">
        <v>2</v>
      </c>
      <c r="O53">
        <v>1</v>
      </c>
      <c r="P53">
        <v>0</v>
      </c>
      <c r="Q53">
        <v>0</v>
      </c>
      <c r="S53" t="str">
        <f>"13:50:55.000"</f>
        <v>13:50:55.000</v>
      </c>
      <c r="T53" t="str">
        <f>"13:50:54.500"</f>
        <v>13:50:54.500</v>
      </c>
      <c r="U53" t="str">
        <f t="shared" si="1"/>
        <v>A92BC1</v>
      </c>
      <c r="V53">
        <v>0</v>
      </c>
      <c r="W53">
        <v>0</v>
      </c>
      <c r="X53">
        <v>2</v>
      </c>
      <c r="Z53">
        <v>0</v>
      </c>
      <c r="AA53">
        <v>9</v>
      </c>
      <c r="AB53">
        <v>3</v>
      </c>
      <c r="AC53">
        <v>0</v>
      </c>
      <c r="AD53">
        <v>10</v>
      </c>
      <c r="AE53">
        <v>0</v>
      </c>
      <c r="AF53">
        <v>3</v>
      </c>
      <c r="AG53">
        <v>2</v>
      </c>
      <c r="AH53">
        <v>0</v>
      </c>
      <c r="AI53" t="s">
        <v>163</v>
      </c>
      <c r="AJ53">
        <v>45.632122000000003</v>
      </c>
      <c r="AK53" t="s">
        <v>164</v>
      </c>
      <c r="AL53">
        <v>-89.498169000000004</v>
      </c>
      <c r="AM53">
        <v>100</v>
      </c>
      <c r="AN53">
        <v>2400</v>
      </c>
      <c r="AO53" t="s">
        <v>118</v>
      </c>
      <c r="AP53">
        <v>-126</v>
      </c>
      <c r="AQ53">
        <v>78</v>
      </c>
      <c r="AR53">
        <v>2304</v>
      </c>
      <c r="AZ53">
        <v>1200</v>
      </c>
      <c r="BA53">
        <v>1</v>
      </c>
      <c r="BB53" t="str">
        <f t="shared" si="6"/>
        <v xml:space="preserve">N690LS  </v>
      </c>
      <c r="BC53">
        <v>1</v>
      </c>
      <c r="BE53">
        <v>0</v>
      </c>
      <c r="BF53">
        <v>0</v>
      </c>
      <c r="BG53">
        <v>0</v>
      </c>
      <c r="BH53">
        <v>2375</v>
      </c>
      <c r="BI53">
        <v>1</v>
      </c>
      <c r="BJ53">
        <v>1</v>
      </c>
      <c r="BK53">
        <v>1</v>
      </c>
      <c r="BL53">
        <v>0</v>
      </c>
      <c r="BO53">
        <v>0</v>
      </c>
      <c r="BP53">
        <v>0</v>
      </c>
      <c r="BW53" t="str">
        <f>"13:50:55.003"</f>
        <v>13:50:55.003</v>
      </c>
      <c r="CJ53">
        <v>0</v>
      </c>
      <c r="CK53">
        <v>2</v>
      </c>
      <c r="CL53">
        <v>0</v>
      </c>
      <c r="CM53">
        <v>2</v>
      </c>
      <c r="CN53">
        <v>0</v>
      </c>
      <c r="CO53">
        <v>5</v>
      </c>
      <c r="CP53" t="s">
        <v>119</v>
      </c>
      <c r="CQ53">
        <v>181</v>
      </c>
      <c r="CR53">
        <v>0</v>
      </c>
      <c r="CW53">
        <v>7679311</v>
      </c>
      <c r="CY53">
        <v>0</v>
      </c>
      <c r="CZ53">
        <v>0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</row>
    <row r="54" spans="1:113" x14ac:dyDescent="0.3">
      <c r="A54" t="str">
        <f>"09/28/2021 13:50:55.222"</f>
        <v>09/28/2021 13:50:55.222</v>
      </c>
      <c r="C54" t="str">
        <f t="shared" si="5"/>
        <v>FFDFD3C0</v>
      </c>
      <c r="D54" t="s">
        <v>120</v>
      </c>
      <c r="E54">
        <v>12</v>
      </c>
      <c r="F54">
        <v>1012</v>
      </c>
      <c r="G54" t="s">
        <v>114</v>
      </c>
      <c r="J54" t="s">
        <v>121</v>
      </c>
      <c r="K54">
        <v>0</v>
      </c>
      <c r="L54">
        <v>3</v>
      </c>
      <c r="M54">
        <v>0</v>
      </c>
      <c r="N54">
        <v>2</v>
      </c>
      <c r="O54">
        <v>1</v>
      </c>
      <c r="P54">
        <v>0</v>
      </c>
      <c r="Q54">
        <v>0</v>
      </c>
      <c r="S54" t="str">
        <f>"13:50:55.000"</f>
        <v>13:50:55.000</v>
      </c>
      <c r="T54" t="str">
        <f>"13:50:54.500"</f>
        <v>13:50:54.500</v>
      </c>
      <c r="U54" t="str">
        <f t="shared" si="1"/>
        <v>A92BC1</v>
      </c>
      <c r="V54">
        <v>0</v>
      </c>
      <c r="W54">
        <v>0</v>
      </c>
      <c r="X54">
        <v>2</v>
      </c>
      <c r="Z54">
        <v>0</v>
      </c>
      <c r="AA54">
        <v>9</v>
      </c>
      <c r="AB54">
        <v>3</v>
      </c>
      <c r="AC54">
        <v>0</v>
      </c>
      <c r="AD54">
        <v>10</v>
      </c>
      <c r="AE54">
        <v>0</v>
      </c>
      <c r="AF54">
        <v>3</v>
      </c>
      <c r="AG54">
        <v>2</v>
      </c>
      <c r="AH54">
        <v>0</v>
      </c>
      <c r="AI54" t="s">
        <v>163</v>
      </c>
      <c r="AJ54">
        <v>45.632122000000003</v>
      </c>
      <c r="AK54" t="s">
        <v>164</v>
      </c>
      <c r="AL54">
        <v>-89.498169000000004</v>
      </c>
      <c r="AM54">
        <v>100</v>
      </c>
      <c r="AN54">
        <v>2400</v>
      </c>
      <c r="AO54" t="s">
        <v>118</v>
      </c>
      <c r="AP54">
        <v>-126</v>
      </c>
      <c r="AQ54">
        <v>78</v>
      </c>
      <c r="AR54">
        <v>2304</v>
      </c>
      <c r="AZ54">
        <v>1200</v>
      </c>
      <c r="BA54">
        <v>1</v>
      </c>
      <c r="BB54" t="str">
        <f t="shared" si="6"/>
        <v xml:space="preserve">N690LS  </v>
      </c>
      <c r="BC54">
        <v>1</v>
      </c>
      <c r="BE54">
        <v>0</v>
      </c>
      <c r="BF54">
        <v>0</v>
      </c>
      <c r="BG54">
        <v>0</v>
      </c>
      <c r="BH54">
        <v>2375</v>
      </c>
      <c r="BI54">
        <v>1</v>
      </c>
      <c r="BJ54">
        <v>1</v>
      </c>
      <c r="BK54">
        <v>1</v>
      </c>
      <c r="BL54">
        <v>0</v>
      </c>
      <c r="BO54">
        <v>0</v>
      </c>
      <c r="BP54">
        <v>0</v>
      </c>
      <c r="BW54" t="str">
        <f>"13:50:55.003"</f>
        <v>13:50:55.003</v>
      </c>
      <c r="CJ54">
        <v>0</v>
      </c>
      <c r="CK54">
        <v>2</v>
      </c>
      <c r="CL54">
        <v>0</v>
      </c>
      <c r="CM54">
        <v>2</v>
      </c>
      <c r="CN54">
        <v>0</v>
      </c>
      <c r="CO54">
        <v>5</v>
      </c>
      <c r="CP54" t="s">
        <v>119</v>
      </c>
      <c r="CQ54">
        <v>181</v>
      </c>
      <c r="CR54">
        <v>0</v>
      </c>
      <c r="CW54">
        <v>7679311</v>
      </c>
      <c r="CY54">
        <v>0</v>
      </c>
      <c r="CZ54">
        <v>0</v>
      </c>
      <c r="DA54">
        <v>1</v>
      </c>
      <c r="DB54">
        <v>0</v>
      </c>
      <c r="DC54">
        <v>0</v>
      </c>
      <c r="DD54">
        <v>0</v>
      </c>
      <c r="DE54">
        <v>0</v>
      </c>
      <c r="DF54">
        <v>0</v>
      </c>
      <c r="DG54">
        <v>0</v>
      </c>
      <c r="DH54">
        <v>0</v>
      </c>
      <c r="DI54">
        <v>0</v>
      </c>
    </row>
    <row r="55" spans="1:113" x14ac:dyDescent="0.3">
      <c r="A55" t="str">
        <f>"09/28/2021 13:50:56.222"</f>
        <v>09/28/2021 13:50:56.222</v>
      </c>
      <c r="C55" t="str">
        <f t="shared" si="5"/>
        <v>FFDFD3C0</v>
      </c>
      <c r="D55" t="s">
        <v>113</v>
      </c>
      <c r="E55">
        <v>7</v>
      </c>
      <c r="H55">
        <v>170</v>
      </c>
      <c r="I55" t="s">
        <v>114</v>
      </c>
      <c r="J55" t="s">
        <v>115</v>
      </c>
      <c r="K55">
        <v>0</v>
      </c>
      <c r="L55">
        <v>3</v>
      </c>
      <c r="M55">
        <v>0</v>
      </c>
      <c r="N55">
        <v>2</v>
      </c>
      <c r="O55">
        <v>1</v>
      </c>
      <c r="P55">
        <v>0</v>
      </c>
      <c r="Q55">
        <v>0</v>
      </c>
      <c r="S55" t="str">
        <f>"13:50:56.031"</f>
        <v>13:50:56.031</v>
      </c>
      <c r="T55" t="str">
        <f>"13:50:55.531"</f>
        <v>13:50:55.531</v>
      </c>
      <c r="U55" t="str">
        <f t="shared" si="1"/>
        <v>A92BC1</v>
      </c>
      <c r="V55">
        <v>0</v>
      </c>
      <c r="W55">
        <v>0</v>
      </c>
      <c r="X55">
        <v>2</v>
      </c>
      <c r="Z55">
        <v>0</v>
      </c>
      <c r="AA55">
        <v>9</v>
      </c>
      <c r="AB55">
        <v>3</v>
      </c>
      <c r="AC55">
        <v>0</v>
      </c>
      <c r="AD55">
        <v>10</v>
      </c>
      <c r="AE55">
        <v>0</v>
      </c>
      <c r="AF55">
        <v>3</v>
      </c>
      <c r="AG55">
        <v>2</v>
      </c>
      <c r="AH55">
        <v>0</v>
      </c>
      <c r="AI55" t="s">
        <v>165</v>
      </c>
      <c r="AJ55">
        <v>45.632593999999997</v>
      </c>
      <c r="AK55" t="s">
        <v>166</v>
      </c>
      <c r="AL55">
        <v>-89.499092000000005</v>
      </c>
      <c r="AM55">
        <v>100</v>
      </c>
      <c r="AN55">
        <v>2400</v>
      </c>
      <c r="AO55" t="s">
        <v>118</v>
      </c>
      <c r="AP55">
        <v>-120</v>
      </c>
      <c r="AQ55">
        <v>89</v>
      </c>
      <c r="AR55">
        <v>2368</v>
      </c>
      <c r="AZ55">
        <v>1200</v>
      </c>
      <c r="BA55">
        <v>1</v>
      </c>
      <c r="BB55" t="str">
        <f t="shared" si="6"/>
        <v xml:space="preserve">N690LS  </v>
      </c>
      <c r="BC55">
        <v>1</v>
      </c>
      <c r="BE55">
        <v>0</v>
      </c>
      <c r="BF55">
        <v>0</v>
      </c>
      <c r="BG55">
        <v>0</v>
      </c>
      <c r="BH55">
        <v>2425</v>
      </c>
      <c r="BI55">
        <v>1</v>
      </c>
      <c r="BJ55">
        <v>1</v>
      </c>
      <c r="BK55">
        <v>1</v>
      </c>
      <c r="BL55">
        <v>0</v>
      </c>
      <c r="BO55">
        <v>0</v>
      </c>
      <c r="BP55">
        <v>0</v>
      </c>
      <c r="BW55" t="str">
        <f>"13:50:56.032"</f>
        <v>13:50:56.032</v>
      </c>
      <c r="CJ55">
        <v>0</v>
      </c>
      <c r="CK55">
        <v>2</v>
      </c>
      <c r="CL55">
        <v>0</v>
      </c>
      <c r="CM55">
        <v>2</v>
      </c>
      <c r="CN55">
        <v>0</v>
      </c>
      <c r="CO55">
        <v>4</v>
      </c>
      <c r="CP55" t="s">
        <v>119</v>
      </c>
      <c r="CQ55">
        <v>209</v>
      </c>
      <c r="CR55">
        <v>3</v>
      </c>
      <c r="CW55">
        <v>7118416</v>
      </c>
      <c r="CY55">
        <v>1</v>
      </c>
      <c r="CZ55">
        <v>0</v>
      </c>
      <c r="DA55">
        <v>0</v>
      </c>
      <c r="DB55">
        <v>0</v>
      </c>
      <c r="DC55">
        <v>0</v>
      </c>
      <c r="DD55">
        <v>0</v>
      </c>
      <c r="DE55">
        <v>0</v>
      </c>
      <c r="DF55">
        <v>0</v>
      </c>
      <c r="DG55">
        <v>0</v>
      </c>
      <c r="DH55">
        <v>0</v>
      </c>
      <c r="DI55">
        <v>0</v>
      </c>
    </row>
    <row r="56" spans="1:113" x14ac:dyDescent="0.3">
      <c r="A56" t="str">
        <f>"09/28/2021 13:50:56.222"</f>
        <v>09/28/2021 13:50:56.222</v>
      </c>
      <c r="C56" t="str">
        <f t="shared" si="5"/>
        <v>FFDFD3C0</v>
      </c>
      <c r="D56" t="s">
        <v>120</v>
      </c>
      <c r="E56">
        <v>12</v>
      </c>
      <c r="F56">
        <v>1012</v>
      </c>
      <c r="G56" t="s">
        <v>114</v>
      </c>
      <c r="J56" t="s">
        <v>121</v>
      </c>
      <c r="K56">
        <v>0</v>
      </c>
      <c r="L56">
        <v>3</v>
      </c>
      <c r="M56">
        <v>0</v>
      </c>
      <c r="N56">
        <v>2</v>
      </c>
      <c r="O56">
        <v>1</v>
      </c>
      <c r="P56">
        <v>0</v>
      </c>
      <c r="Q56">
        <v>0</v>
      </c>
      <c r="S56" t="str">
        <f>"13:50:56.031"</f>
        <v>13:50:56.031</v>
      </c>
      <c r="T56" t="str">
        <f>"13:50:55.531"</f>
        <v>13:50:55.531</v>
      </c>
      <c r="U56" t="str">
        <f t="shared" si="1"/>
        <v>A92BC1</v>
      </c>
      <c r="V56">
        <v>0</v>
      </c>
      <c r="W56">
        <v>0</v>
      </c>
      <c r="X56">
        <v>2</v>
      </c>
      <c r="Z56">
        <v>0</v>
      </c>
      <c r="AA56">
        <v>9</v>
      </c>
      <c r="AB56">
        <v>3</v>
      </c>
      <c r="AC56">
        <v>0</v>
      </c>
      <c r="AD56">
        <v>10</v>
      </c>
      <c r="AE56">
        <v>0</v>
      </c>
      <c r="AF56">
        <v>3</v>
      </c>
      <c r="AG56">
        <v>2</v>
      </c>
      <c r="AH56">
        <v>0</v>
      </c>
      <c r="AI56" t="s">
        <v>165</v>
      </c>
      <c r="AJ56">
        <v>45.632593999999997</v>
      </c>
      <c r="AK56" t="s">
        <v>166</v>
      </c>
      <c r="AL56">
        <v>-89.499092000000005</v>
      </c>
      <c r="AM56">
        <v>100</v>
      </c>
      <c r="AN56">
        <v>2400</v>
      </c>
      <c r="AO56" t="s">
        <v>118</v>
      </c>
      <c r="AP56">
        <v>-120</v>
      </c>
      <c r="AQ56">
        <v>89</v>
      </c>
      <c r="AR56">
        <v>2368</v>
      </c>
      <c r="AZ56">
        <v>1200</v>
      </c>
      <c r="BA56">
        <v>1</v>
      </c>
      <c r="BB56" t="str">
        <f t="shared" si="6"/>
        <v xml:space="preserve">N690LS  </v>
      </c>
      <c r="BC56">
        <v>1</v>
      </c>
      <c r="BE56">
        <v>0</v>
      </c>
      <c r="BF56">
        <v>0</v>
      </c>
      <c r="BG56">
        <v>0</v>
      </c>
      <c r="BH56">
        <v>2425</v>
      </c>
      <c r="BI56">
        <v>1</v>
      </c>
      <c r="BJ56">
        <v>1</v>
      </c>
      <c r="BK56">
        <v>1</v>
      </c>
      <c r="BL56">
        <v>0</v>
      </c>
      <c r="BO56">
        <v>0</v>
      </c>
      <c r="BP56">
        <v>0</v>
      </c>
      <c r="BW56" t="str">
        <f>"13:50:56.032"</f>
        <v>13:50:56.032</v>
      </c>
      <c r="CJ56">
        <v>0</v>
      </c>
      <c r="CK56">
        <v>2</v>
      </c>
      <c r="CL56">
        <v>0</v>
      </c>
      <c r="CM56">
        <v>2</v>
      </c>
      <c r="CN56">
        <v>0</v>
      </c>
      <c r="CO56">
        <v>4</v>
      </c>
      <c r="CP56" t="s">
        <v>119</v>
      </c>
      <c r="CQ56">
        <v>209</v>
      </c>
      <c r="CR56">
        <v>3</v>
      </c>
      <c r="CW56">
        <v>7118416</v>
      </c>
      <c r="CY56">
        <v>1</v>
      </c>
      <c r="CZ56">
        <v>0</v>
      </c>
      <c r="DA56">
        <v>1</v>
      </c>
      <c r="DB56">
        <v>0</v>
      </c>
      <c r="DC56">
        <v>0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</row>
    <row r="57" spans="1:113" x14ac:dyDescent="0.3">
      <c r="A57" t="str">
        <f>"09/28/2021 13:50:57.274"</f>
        <v>09/28/2021 13:50:57.274</v>
      </c>
      <c r="C57" t="str">
        <f t="shared" si="5"/>
        <v>FFDFD3C0</v>
      </c>
      <c r="D57" t="s">
        <v>113</v>
      </c>
      <c r="E57">
        <v>7</v>
      </c>
      <c r="H57">
        <v>170</v>
      </c>
      <c r="I57" t="s">
        <v>114</v>
      </c>
      <c r="J57" t="s">
        <v>115</v>
      </c>
      <c r="K57">
        <v>0</v>
      </c>
      <c r="L57">
        <v>3</v>
      </c>
      <c r="M57">
        <v>0</v>
      </c>
      <c r="N57">
        <v>2</v>
      </c>
      <c r="O57">
        <v>1</v>
      </c>
      <c r="P57">
        <v>0</v>
      </c>
      <c r="Q57">
        <v>0</v>
      </c>
      <c r="S57" t="str">
        <f>"13:50:57.047"</f>
        <v>13:50:57.047</v>
      </c>
      <c r="T57" t="str">
        <f>"13:50:56.647"</f>
        <v>13:50:56.647</v>
      </c>
      <c r="U57" t="str">
        <f t="shared" si="1"/>
        <v>A92BC1</v>
      </c>
      <c r="V57">
        <v>0</v>
      </c>
      <c r="W57">
        <v>0</v>
      </c>
      <c r="X57">
        <v>2</v>
      </c>
      <c r="Z57">
        <v>0</v>
      </c>
      <c r="AA57">
        <v>9</v>
      </c>
      <c r="AB57">
        <v>3</v>
      </c>
      <c r="AC57">
        <v>0</v>
      </c>
      <c r="AD57">
        <v>10</v>
      </c>
      <c r="AE57">
        <v>0</v>
      </c>
      <c r="AF57">
        <v>3</v>
      </c>
      <c r="AG57">
        <v>2</v>
      </c>
      <c r="AH57">
        <v>0</v>
      </c>
      <c r="AI57" t="s">
        <v>167</v>
      </c>
      <c r="AJ57">
        <v>45.633065999999999</v>
      </c>
      <c r="AK57" t="s">
        <v>168</v>
      </c>
      <c r="AL57">
        <v>-89.499842999999998</v>
      </c>
      <c r="AM57">
        <v>100</v>
      </c>
      <c r="AN57">
        <v>2500</v>
      </c>
      <c r="AO57" t="s">
        <v>118</v>
      </c>
      <c r="AP57">
        <v>-115</v>
      </c>
      <c r="AQ57">
        <v>97</v>
      </c>
      <c r="AR57">
        <v>2432</v>
      </c>
      <c r="AZ57">
        <v>1200</v>
      </c>
      <c r="BA57">
        <v>1</v>
      </c>
      <c r="BB57" t="str">
        <f t="shared" si="6"/>
        <v xml:space="preserve">N690LS  </v>
      </c>
      <c r="BC57">
        <v>1</v>
      </c>
      <c r="BE57">
        <v>0</v>
      </c>
      <c r="BF57">
        <v>0</v>
      </c>
      <c r="BG57">
        <v>0</v>
      </c>
      <c r="BH57">
        <v>2475</v>
      </c>
      <c r="BI57">
        <v>1</v>
      </c>
      <c r="BJ57">
        <v>1</v>
      </c>
      <c r="BK57">
        <v>1</v>
      </c>
      <c r="BL57">
        <v>0</v>
      </c>
      <c r="BO57">
        <v>0</v>
      </c>
      <c r="BP57">
        <v>0</v>
      </c>
      <c r="BW57" t="str">
        <f>"13:50:57.050"</f>
        <v>13:50:57.050</v>
      </c>
      <c r="CJ57">
        <v>0</v>
      </c>
      <c r="CK57">
        <v>2</v>
      </c>
      <c r="CL57">
        <v>0</v>
      </c>
      <c r="CM57">
        <v>2</v>
      </c>
      <c r="CN57">
        <v>0</v>
      </c>
      <c r="CO57">
        <v>7</v>
      </c>
      <c r="CP57" t="s">
        <v>119</v>
      </c>
      <c r="CQ57">
        <v>197</v>
      </c>
      <c r="CR57">
        <v>2</v>
      </c>
      <c r="CW57">
        <v>2113244</v>
      </c>
      <c r="CY57">
        <v>1</v>
      </c>
      <c r="CZ57">
        <v>0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0</v>
      </c>
      <c r="DG57">
        <v>0</v>
      </c>
      <c r="DH57">
        <v>0</v>
      </c>
      <c r="DI57">
        <v>0</v>
      </c>
    </row>
    <row r="58" spans="1:113" x14ac:dyDescent="0.3">
      <c r="A58" t="str">
        <f>"09/28/2021 13:50:57.274"</f>
        <v>09/28/2021 13:50:57.274</v>
      </c>
      <c r="C58" t="str">
        <f t="shared" si="5"/>
        <v>FFDFD3C0</v>
      </c>
      <c r="D58" t="s">
        <v>120</v>
      </c>
      <c r="E58">
        <v>12</v>
      </c>
      <c r="F58">
        <v>1012</v>
      </c>
      <c r="G58" t="s">
        <v>114</v>
      </c>
      <c r="J58" t="s">
        <v>121</v>
      </c>
      <c r="K58">
        <v>0</v>
      </c>
      <c r="L58">
        <v>3</v>
      </c>
      <c r="M58">
        <v>0</v>
      </c>
      <c r="N58">
        <v>2</v>
      </c>
      <c r="O58">
        <v>1</v>
      </c>
      <c r="P58">
        <v>0</v>
      </c>
      <c r="Q58">
        <v>0</v>
      </c>
      <c r="S58" t="str">
        <f>"13:50:57.047"</f>
        <v>13:50:57.047</v>
      </c>
      <c r="T58" t="str">
        <f>"13:50:56.647"</f>
        <v>13:50:56.647</v>
      </c>
      <c r="U58" t="str">
        <f t="shared" si="1"/>
        <v>A92BC1</v>
      </c>
      <c r="V58">
        <v>0</v>
      </c>
      <c r="W58">
        <v>0</v>
      </c>
      <c r="X58">
        <v>2</v>
      </c>
      <c r="Z58">
        <v>0</v>
      </c>
      <c r="AA58">
        <v>9</v>
      </c>
      <c r="AB58">
        <v>3</v>
      </c>
      <c r="AC58">
        <v>0</v>
      </c>
      <c r="AD58">
        <v>10</v>
      </c>
      <c r="AE58">
        <v>0</v>
      </c>
      <c r="AF58">
        <v>3</v>
      </c>
      <c r="AG58">
        <v>2</v>
      </c>
      <c r="AH58">
        <v>0</v>
      </c>
      <c r="AI58" t="s">
        <v>167</v>
      </c>
      <c r="AJ58">
        <v>45.633065999999999</v>
      </c>
      <c r="AK58" t="s">
        <v>168</v>
      </c>
      <c r="AL58">
        <v>-89.499842999999998</v>
      </c>
      <c r="AM58">
        <v>100</v>
      </c>
      <c r="AN58">
        <v>2500</v>
      </c>
      <c r="AO58" t="s">
        <v>118</v>
      </c>
      <c r="AP58">
        <v>-115</v>
      </c>
      <c r="AQ58">
        <v>97</v>
      </c>
      <c r="AR58">
        <v>2432</v>
      </c>
      <c r="AZ58">
        <v>1200</v>
      </c>
      <c r="BA58">
        <v>1</v>
      </c>
      <c r="BB58" t="str">
        <f t="shared" si="6"/>
        <v xml:space="preserve">N690LS  </v>
      </c>
      <c r="BC58">
        <v>1</v>
      </c>
      <c r="BE58">
        <v>0</v>
      </c>
      <c r="BF58">
        <v>0</v>
      </c>
      <c r="BG58">
        <v>0</v>
      </c>
      <c r="BH58">
        <v>2475</v>
      </c>
      <c r="BI58">
        <v>1</v>
      </c>
      <c r="BJ58">
        <v>1</v>
      </c>
      <c r="BK58">
        <v>1</v>
      </c>
      <c r="BL58">
        <v>0</v>
      </c>
      <c r="BO58">
        <v>0</v>
      </c>
      <c r="BP58">
        <v>0</v>
      </c>
      <c r="BW58" t="str">
        <f>"13:50:57.050"</f>
        <v>13:50:57.050</v>
      </c>
      <c r="CJ58">
        <v>0</v>
      </c>
      <c r="CK58">
        <v>2</v>
      </c>
      <c r="CL58">
        <v>0</v>
      </c>
      <c r="CM58">
        <v>2</v>
      </c>
      <c r="CN58">
        <v>0</v>
      </c>
      <c r="CO58">
        <v>7</v>
      </c>
      <c r="CP58" t="s">
        <v>119</v>
      </c>
      <c r="CQ58">
        <v>197</v>
      </c>
      <c r="CR58">
        <v>2</v>
      </c>
      <c r="CW58">
        <v>2113244</v>
      </c>
      <c r="CY58">
        <v>1</v>
      </c>
      <c r="CZ58">
        <v>0</v>
      </c>
      <c r="DA58">
        <v>1</v>
      </c>
      <c r="DB58">
        <v>0</v>
      </c>
      <c r="DC58">
        <v>0</v>
      </c>
      <c r="DD58">
        <v>0</v>
      </c>
      <c r="DE58">
        <v>0</v>
      </c>
      <c r="DF58">
        <v>0</v>
      </c>
      <c r="DG58">
        <v>0</v>
      </c>
      <c r="DH58">
        <v>0</v>
      </c>
      <c r="DI58">
        <v>0</v>
      </c>
    </row>
    <row r="59" spans="1:113" x14ac:dyDescent="0.3">
      <c r="A59" t="str">
        <f>"09/28/2021 13:50:58.369"</f>
        <v>09/28/2021 13:50:58.369</v>
      </c>
      <c r="C59" t="str">
        <f t="shared" si="5"/>
        <v>FFDFD3C0</v>
      </c>
      <c r="D59" t="s">
        <v>120</v>
      </c>
      <c r="E59">
        <v>12</v>
      </c>
      <c r="F59">
        <v>1012</v>
      </c>
      <c r="G59" t="s">
        <v>114</v>
      </c>
      <c r="J59" t="s">
        <v>121</v>
      </c>
      <c r="K59">
        <v>0</v>
      </c>
      <c r="L59">
        <v>3</v>
      </c>
      <c r="M59">
        <v>0</v>
      </c>
      <c r="N59">
        <v>2</v>
      </c>
      <c r="O59">
        <v>1</v>
      </c>
      <c r="P59">
        <v>0</v>
      </c>
      <c r="Q59">
        <v>0</v>
      </c>
      <c r="S59" t="str">
        <f>"13:50:58.102"</f>
        <v>13:50:58.102</v>
      </c>
      <c r="T59" t="str">
        <f>"13:50:57.702"</f>
        <v>13:50:57.702</v>
      </c>
      <c r="U59" t="str">
        <f t="shared" si="1"/>
        <v>A92BC1</v>
      </c>
      <c r="V59">
        <v>0</v>
      </c>
      <c r="W59">
        <v>0</v>
      </c>
      <c r="X59">
        <v>2</v>
      </c>
      <c r="Z59">
        <v>0</v>
      </c>
      <c r="AA59">
        <v>9</v>
      </c>
      <c r="AB59">
        <v>3</v>
      </c>
      <c r="AC59">
        <v>0</v>
      </c>
      <c r="AD59">
        <v>10</v>
      </c>
      <c r="AE59">
        <v>0</v>
      </c>
      <c r="AF59">
        <v>3</v>
      </c>
      <c r="AG59">
        <v>2</v>
      </c>
      <c r="AH59">
        <v>0</v>
      </c>
      <c r="AI59" t="s">
        <v>169</v>
      </c>
      <c r="AJ59">
        <v>45.633581</v>
      </c>
      <c r="AK59" t="s">
        <v>170</v>
      </c>
      <c r="AL59">
        <v>-89.500529999999998</v>
      </c>
      <c r="AM59">
        <v>100</v>
      </c>
      <c r="AN59">
        <v>2500</v>
      </c>
      <c r="AO59" t="s">
        <v>118</v>
      </c>
      <c r="AP59">
        <v>-109</v>
      </c>
      <c r="AQ59">
        <v>104</v>
      </c>
      <c r="AR59">
        <v>2496</v>
      </c>
      <c r="AZ59">
        <v>1200</v>
      </c>
      <c r="BA59">
        <v>1</v>
      </c>
      <c r="BB59" t="str">
        <f t="shared" si="6"/>
        <v xml:space="preserve">N690LS  </v>
      </c>
      <c r="BC59">
        <v>1</v>
      </c>
      <c r="BE59">
        <v>0</v>
      </c>
      <c r="BF59">
        <v>0</v>
      </c>
      <c r="BG59">
        <v>0</v>
      </c>
      <c r="BH59">
        <v>2500</v>
      </c>
      <c r="BI59">
        <v>1</v>
      </c>
      <c r="BJ59">
        <v>1</v>
      </c>
      <c r="BK59">
        <v>1</v>
      </c>
      <c r="BL59">
        <v>0</v>
      </c>
      <c r="BO59">
        <v>0</v>
      </c>
      <c r="BP59">
        <v>0</v>
      </c>
      <c r="BW59" t="str">
        <f>"13:50:58.104"</f>
        <v>13:50:58.104</v>
      </c>
      <c r="CJ59">
        <v>0</v>
      </c>
      <c r="CK59">
        <v>2</v>
      </c>
      <c r="CL59">
        <v>0</v>
      </c>
      <c r="CM59">
        <v>2</v>
      </c>
      <c r="CN59">
        <v>0</v>
      </c>
      <c r="CO59">
        <v>4</v>
      </c>
      <c r="CP59" t="s">
        <v>119</v>
      </c>
      <c r="CQ59">
        <v>209</v>
      </c>
      <c r="CR59">
        <v>3</v>
      </c>
      <c r="CW59">
        <v>7119082</v>
      </c>
      <c r="CY59">
        <v>1</v>
      </c>
      <c r="CZ59">
        <v>0</v>
      </c>
      <c r="DA59">
        <v>0</v>
      </c>
      <c r="DB59">
        <v>0</v>
      </c>
      <c r="DC59">
        <v>0</v>
      </c>
      <c r="DD59">
        <v>0</v>
      </c>
      <c r="DE59">
        <v>0</v>
      </c>
      <c r="DF59">
        <v>0</v>
      </c>
      <c r="DG59">
        <v>0</v>
      </c>
      <c r="DH59">
        <v>0</v>
      </c>
      <c r="DI59">
        <v>0</v>
      </c>
    </row>
    <row r="60" spans="1:113" x14ac:dyDescent="0.3">
      <c r="A60" t="str">
        <f>"09/28/2021 13:50:58.369"</f>
        <v>09/28/2021 13:50:58.369</v>
      </c>
      <c r="C60" t="str">
        <f t="shared" si="5"/>
        <v>FFDFD3C0</v>
      </c>
      <c r="D60" t="s">
        <v>113</v>
      </c>
      <c r="E60">
        <v>7</v>
      </c>
      <c r="H60">
        <v>170</v>
      </c>
      <c r="I60" t="s">
        <v>114</v>
      </c>
      <c r="J60" t="s">
        <v>115</v>
      </c>
      <c r="K60">
        <v>0</v>
      </c>
      <c r="L60">
        <v>3</v>
      </c>
      <c r="M60">
        <v>0</v>
      </c>
      <c r="N60">
        <v>2</v>
      </c>
      <c r="O60">
        <v>1</v>
      </c>
      <c r="P60">
        <v>0</v>
      </c>
      <c r="Q60">
        <v>0</v>
      </c>
      <c r="S60" t="str">
        <f>"13:50:58.102"</f>
        <v>13:50:58.102</v>
      </c>
      <c r="T60" t="str">
        <f>"13:50:57.702"</f>
        <v>13:50:57.702</v>
      </c>
      <c r="U60" t="str">
        <f t="shared" si="1"/>
        <v>A92BC1</v>
      </c>
      <c r="V60">
        <v>0</v>
      </c>
      <c r="W60">
        <v>0</v>
      </c>
      <c r="X60">
        <v>2</v>
      </c>
      <c r="Z60">
        <v>0</v>
      </c>
      <c r="AA60">
        <v>9</v>
      </c>
      <c r="AB60">
        <v>3</v>
      </c>
      <c r="AC60">
        <v>0</v>
      </c>
      <c r="AD60">
        <v>10</v>
      </c>
      <c r="AE60">
        <v>0</v>
      </c>
      <c r="AF60">
        <v>3</v>
      </c>
      <c r="AG60">
        <v>2</v>
      </c>
      <c r="AH60">
        <v>0</v>
      </c>
      <c r="AI60" t="s">
        <v>169</v>
      </c>
      <c r="AJ60">
        <v>45.633581</v>
      </c>
      <c r="AK60" t="s">
        <v>170</v>
      </c>
      <c r="AL60">
        <v>-89.500529999999998</v>
      </c>
      <c r="AM60">
        <v>100</v>
      </c>
      <c r="AN60">
        <v>2500</v>
      </c>
      <c r="AO60" t="s">
        <v>118</v>
      </c>
      <c r="AP60">
        <v>-109</v>
      </c>
      <c r="AQ60">
        <v>104</v>
      </c>
      <c r="AR60">
        <v>2496</v>
      </c>
      <c r="AZ60">
        <v>1200</v>
      </c>
      <c r="BA60">
        <v>1</v>
      </c>
      <c r="BB60" t="str">
        <f t="shared" si="6"/>
        <v xml:space="preserve">N690LS  </v>
      </c>
      <c r="BC60">
        <v>1</v>
      </c>
      <c r="BE60">
        <v>0</v>
      </c>
      <c r="BF60">
        <v>0</v>
      </c>
      <c r="BG60">
        <v>0</v>
      </c>
      <c r="BH60">
        <v>2500</v>
      </c>
      <c r="BI60">
        <v>1</v>
      </c>
      <c r="BJ60">
        <v>1</v>
      </c>
      <c r="BK60">
        <v>1</v>
      </c>
      <c r="BL60">
        <v>0</v>
      </c>
      <c r="BO60">
        <v>0</v>
      </c>
      <c r="BP60">
        <v>0</v>
      </c>
      <c r="BW60" t="str">
        <f>"13:50:58.104"</f>
        <v>13:50:58.104</v>
      </c>
      <c r="CJ60">
        <v>0</v>
      </c>
      <c r="CK60">
        <v>2</v>
      </c>
      <c r="CL60">
        <v>0</v>
      </c>
      <c r="CM60">
        <v>2</v>
      </c>
      <c r="CN60">
        <v>0</v>
      </c>
      <c r="CO60">
        <v>4</v>
      </c>
      <c r="CP60" t="s">
        <v>119</v>
      </c>
      <c r="CQ60">
        <v>209</v>
      </c>
      <c r="CR60">
        <v>3</v>
      </c>
      <c r="CW60">
        <v>7119082</v>
      </c>
      <c r="CY60">
        <v>1</v>
      </c>
      <c r="CZ60">
        <v>0</v>
      </c>
      <c r="DA60">
        <v>1</v>
      </c>
      <c r="DB60">
        <v>0</v>
      </c>
      <c r="DC60">
        <v>0</v>
      </c>
      <c r="DD60">
        <v>0</v>
      </c>
      <c r="DE60">
        <v>0</v>
      </c>
      <c r="DF60">
        <v>0</v>
      </c>
      <c r="DG60">
        <v>0</v>
      </c>
      <c r="DH60">
        <v>0</v>
      </c>
      <c r="DI60">
        <v>0</v>
      </c>
    </row>
    <row r="61" spans="1:113" x14ac:dyDescent="0.3">
      <c r="A61" t="str">
        <f>"09/28/2021 13:50:59.291"</f>
        <v>09/28/2021 13:50:59.291</v>
      </c>
      <c r="C61" t="str">
        <f t="shared" si="5"/>
        <v>FFDFD3C0</v>
      </c>
      <c r="D61" t="s">
        <v>113</v>
      </c>
      <c r="E61">
        <v>7</v>
      </c>
      <c r="H61">
        <v>170</v>
      </c>
      <c r="I61" t="s">
        <v>114</v>
      </c>
      <c r="J61" t="s">
        <v>115</v>
      </c>
      <c r="K61">
        <v>0</v>
      </c>
      <c r="L61">
        <v>3</v>
      </c>
      <c r="M61">
        <v>0</v>
      </c>
      <c r="N61">
        <v>2</v>
      </c>
      <c r="O61">
        <v>1</v>
      </c>
      <c r="P61">
        <v>0</v>
      </c>
      <c r="Q61">
        <v>0</v>
      </c>
      <c r="S61" t="str">
        <f>"13:50:59.023"</f>
        <v>13:50:59.023</v>
      </c>
      <c r="T61" t="str">
        <f>"13:50:58.623"</f>
        <v>13:50:58.623</v>
      </c>
      <c r="U61" t="str">
        <f t="shared" si="1"/>
        <v>A92BC1</v>
      </c>
      <c r="V61">
        <v>0</v>
      </c>
      <c r="W61">
        <v>0</v>
      </c>
      <c r="X61">
        <v>2</v>
      </c>
      <c r="Z61">
        <v>0</v>
      </c>
      <c r="AA61">
        <v>9</v>
      </c>
      <c r="AB61">
        <v>3</v>
      </c>
      <c r="AC61">
        <v>0</v>
      </c>
      <c r="AD61">
        <v>10</v>
      </c>
      <c r="AE61">
        <v>0</v>
      </c>
      <c r="AF61">
        <v>3</v>
      </c>
      <c r="AG61">
        <v>2</v>
      </c>
      <c r="AH61">
        <v>0</v>
      </c>
      <c r="AI61" t="s">
        <v>171</v>
      </c>
      <c r="AJ61">
        <v>45.634096</v>
      </c>
      <c r="AK61" t="s">
        <v>172</v>
      </c>
      <c r="AL61">
        <v>-89.501152000000005</v>
      </c>
      <c r="AM61">
        <v>100</v>
      </c>
      <c r="AN61">
        <v>2600</v>
      </c>
      <c r="AO61" t="s">
        <v>118</v>
      </c>
      <c r="AP61">
        <v>-102</v>
      </c>
      <c r="AQ61">
        <v>111</v>
      </c>
      <c r="AR61">
        <v>2624</v>
      </c>
      <c r="AZ61">
        <v>1200</v>
      </c>
      <c r="BA61">
        <v>1</v>
      </c>
      <c r="BB61" t="str">
        <f t="shared" si="6"/>
        <v xml:space="preserve">N690LS  </v>
      </c>
      <c r="BC61">
        <v>1</v>
      </c>
      <c r="BE61">
        <v>0</v>
      </c>
      <c r="BF61">
        <v>0</v>
      </c>
      <c r="BG61">
        <v>0</v>
      </c>
      <c r="BH61">
        <v>2550</v>
      </c>
      <c r="BI61">
        <v>1</v>
      </c>
      <c r="BJ61">
        <v>1</v>
      </c>
      <c r="BK61">
        <v>1</v>
      </c>
      <c r="BL61">
        <v>0</v>
      </c>
      <c r="BO61">
        <v>0</v>
      </c>
      <c r="BP61">
        <v>0</v>
      </c>
      <c r="BW61" t="str">
        <f>"13:50:59.025"</f>
        <v>13:50:59.025</v>
      </c>
      <c r="CJ61">
        <v>0</v>
      </c>
      <c r="CK61">
        <v>2</v>
      </c>
      <c r="CL61">
        <v>0</v>
      </c>
      <c r="CM61">
        <v>2</v>
      </c>
      <c r="CN61">
        <v>0</v>
      </c>
      <c r="CO61">
        <v>4</v>
      </c>
      <c r="CP61" t="s">
        <v>119</v>
      </c>
      <c r="CQ61">
        <v>209</v>
      </c>
      <c r="CR61">
        <v>3</v>
      </c>
      <c r="CW61">
        <v>7119358</v>
      </c>
      <c r="CY61">
        <v>1</v>
      </c>
      <c r="CZ61">
        <v>0</v>
      </c>
      <c r="DA61">
        <v>0</v>
      </c>
      <c r="DB61">
        <v>0</v>
      </c>
      <c r="DC61">
        <v>0</v>
      </c>
      <c r="DD61">
        <v>0</v>
      </c>
      <c r="DE61">
        <v>0</v>
      </c>
      <c r="DF61">
        <v>0</v>
      </c>
      <c r="DG61">
        <v>0</v>
      </c>
      <c r="DH61">
        <v>0</v>
      </c>
      <c r="DI61">
        <v>0</v>
      </c>
    </row>
    <row r="62" spans="1:113" x14ac:dyDescent="0.3">
      <c r="A62" t="str">
        <f>"09/28/2021 13:50:59.291"</f>
        <v>09/28/2021 13:50:59.291</v>
      </c>
      <c r="C62" t="str">
        <f t="shared" si="5"/>
        <v>FFDFD3C0</v>
      </c>
      <c r="D62" t="s">
        <v>120</v>
      </c>
      <c r="E62">
        <v>12</v>
      </c>
      <c r="F62">
        <v>1012</v>
      </c>
      <c r="G62" t="s">
        <v>114</v>
      </c>
      <c r="J62" t="s">
        <v>121</v>
      </c>
      <c r="K62">
        <v>0</v>
      </c>
      <c r="L62">
        <v>3</v>
      </c>
      <c r="M62">
        <v>0</v>
      </c>
      <c r="N62">
        <v>2</v>
      </c>
      <c r="O62">
        <v>1</v>
      </c>
      <c r="P62">
        <v>0</v>
      </c>
      <c r="Q62">
        <v>0</v>
      </c>
      <c r="S62" t="str">
        <f>"13:50:59.023"</f>
        <v>13:50:59.023</v>
      </c>
      <c r="T62" t="str">
        <f>"13:50:58.623"</f>
        <v>13:50:58.623</v>
      </c>
      <c r="U62" t="str">
        <f t="shared" si="1"/>
        <v>A92BC1</v>
      </c>
      <c r="V62">
        <v>0</v>
      </c>
      <c r="W62">
        <v>0</v>
      </c>
      <c r="X62">
        <v>2</v>
      </c>
      <c r="Z62">
        <v>0</v>
      </c>
      <c r="AA62">
        <v>9</v>
      </c>
      <c r="AB62">
        <v>3</v>
      </c>
      <c r="AC62">
        <v>0</v>
      </c>
      <c r="AD62">
        <v>10</v>
      </c>
      <c r="AE62">
        <v>0</v>
      </c>
      <c r="AF62">
        <v>3</v>
      </c>
      <c r="AG62">
        <v>2</v>
      </c>
      <c r="AH62">
        <v>0</v>
      </c>
      <c r="AI62" t="s">
        <v>171</v>
      </c>
      <c r="AJ62">
        <v>45.634096</v>
      </c>
      <c r="AK62" t="s">
        <v>172</v>
      </c>
      <c r="AL62">
        <v>-89.501152000000005</v>
      </c>
      <c r="AM62">
        <v>100</v>
      </c>
      <c r="AN62">
        <v>2600</v>
      </c>
      <c r="AO62" t="s">
        <v>118</v>
      </c>
      <c r="AP62">
        <v>-102</v>
      </c>
      <c r="AQ62">
        <v>111</v>
      </c>
      <c r="AR62">
        <v>2624</v>
      </c>
      <c r="AZ62">
        <v>1200</v>
      </c>
      <c r="BA62">
        <v>1</v>
      </c>
      <c r="BB62" t="str">
        <f t="shared" si="6"/>
        <v xml:space="preserve">N690LS  </v>
      </c>
      <c r="BC62">
        <v>1</v>
      </c>
      <c r="BE62">
        <v>0</v>
      </c>
      <c r="BF62">
        <v>0</v>
      </c>
      <c r="BG62">
        <v>0</v>
      </c>
      <c r="BH62">
        <v>2550</v>
      </c>
      <c r="BI62">
        <v>1</v>
      </c>
      <c r="BJ62">
        <v>1</v>
      </c>
      <c r="BK62">
        <v>1</v>
      </c>
      <c r="BL62">
        <v>0</v>
      </c>
      <c r="BO62">
        <v>0</v>
      </c>
      <c r="BP62">
        <v>0</v>
      </c>
      <c r="BW62" t="str">
        <f>"13:50:59.025"</f>
        <v>13:50:59.025</v>
      </c>
      <c r="CJ62">
        <v>0</v>
      </c>
      <c r="CK62">
        <v>2</v>
      </c>
      <c r="CL62">
        <v>0</v>
      </c>
      <c r="CM62">
        <v>2</v>
      </c>
      <c r="CN62">
        <v>0</v>
      </c>
      <c r="CO62">
        <v>4</v>
      </c>
      <c r="CP62" t="s">
        <v>119</v>
      </c>
      <c r="CQ62">
        <v>209</v>
      </c>
      <c r="CR62">
        <v>3</v>
      </c>
      <c r="CW62">
        <v>7119358</v>
      </c>
      <c r="CY62">
        <v>1</v>
      </c>
      <c r="CZ62">
        <v>0</v>
      </c>
      <c r="DA62">
        <v>1</v>
      </c>
      <c r="DB62">
        <v>0</v>
      </c>
      <c r="DC62">
        <v>0</v>
      </c>
      <c r="DD62">
        <v>0</v>
      </c>
      <c r="DE62">
        <v>0</v>
      </c>
      <c r="DF62">
        <v>0</v>
      </c>
      <c r="DG62">
        <v>0</v>
      </c>
      <c r="DH62">
        <v>0</v>
      </c>
      <c r="DI62">
        <v>0</v>
      </c>
    </row>
    <row r="63" spans="1:113" x14ac:dyDescent="0.3">
      <c r="A63" t="str">
        <f>"09/28/2021 13:51:00.244"</f>
        <v>09/28/2021 13:51:00.244</v>
      </c>
      <c r="C63" t="str">
        <f t="shared" si="5"/>
        <v>FFDFD3C0</v>
      </c>
      <c r="D63" t="s">
        <v>120</v>
      </c>
      <c r="E63">
        <v>12</v>
      </c>
      <c r="F63">
        <v>1012</v>
      </c>
      <c r="G63" t="s">
        <v>114</v>
      </c>
      <c r="J63" t="s">
        <v>121</v>
      </c>
      <c r="K63">
        <v>0</v>
      </c>
      <c r="L63">
        <v>3</v>
      </c>
      <c r="M63">
        <v>0</v>
      </c>
      <c r="N63">
        <v>2</v>
      </c>
      <c r="O63">
        <v>1</v>
      </c>
      <c r="P63">
        <v>0</v>
      </c>
      <c r="Q63">
        <v>0</v>
      </c>
      <c r="S63" t="str">
        <f>"13:51:00.047"</f>
        <v>13:51:00.047</v>
      </c>
      <c r="T63" t="str">
        <f>"13:50:59.547"</f>
        <v>13:50:59.547</v>
      </c>
      <c r="U63" t="str">
        <f t="shared" si="1"/>
        <v>A92BC1</v>
      </c>
      <c r="V63">
        <v>0</v>
      </c>
      <c r="W63">
        <v>0</v>
      </c>
      <c r="X63">
        <v>2</v>
      </c>
      <c r="Z63">
        <v>0</v>
      </c>
      <c r="AA63">
        <v>9</v>
      </c>
      <c r="AB63">
        <v>3</v>
      </c>
      <c r="AC63">
        <v>0</v>
      </c>
      <c r="AD63">
        <v>10</v>
      </c>
      <c r="AE63">
        <v>0</v>
      </c>
      <c r="AF63">
        <v>3</v>
      </c>
      <c r="AG63">
        <v>2</v>
      </c>
      <c r="AH63">
        <v>0</v>
      </c>
      <c r="AI63" t="s">
        <v>173</v>
      </c>
      <c r="AJ63">
        <v>45.634653999999998</v>
      </c>
      <c r="AK63" t="s">
        <v>174</v>
      </c>
      <c r="AL63">
        <v>-89.501773999999997</v>
      </c>
      <c r="AM63">
        <v>100</v>
      </c>
      <c r="AN63">
        <v>2600</v>
      </c>
      <c r="AO63" t="s">
        <v>118</v>
      </c>
      <c r="AP63">
        <v>-96</v>
      </c>
      <c r="AQ63">
        <v>117</v>
      </c>
      <c r="AR63">
        <v>2688</v>
      </c>
      <c r="AZ63">
        <v>1200</v>
      </c>
      <c r="BA63">
        <v>1</v>
      </c>
      <c r="BB63" t="str">
        <f t="shared" si="6"/>
        <v xml:space="preserve">N690LS  </v>
      </c>
      <c r="BC63">
        <v>1</v>
      </c>
      <c r="BE63">
        <v>0</v>
      </c>
      <c r="BF63">
        <v>0</v>
      </c>
      <c r="BG63">
        <v>0</v>
      </c>
      <c r="BH63">
        <v>2600</v>
      </c>
      <c r="BI63">
        <v>1</v>
      </c>
      <c r="BJ63">
        <v>1</v>
      </c>
      <c r="BK63">
        <v>1</v>
      </c>
      <c r="BL63">
        <v>0</v>
      </c>
      <c r="BO63">
        <v>0</v>
      </c>
      <c r="BP63">
        <v>0</v>
      </c>
      <c r="BW63" t="str">
        <f>"13:51:00.052"</f>
        <v>13:51:00.052</v>
      </c>
      <c r="CJ63">
        <v>0</v>
      </c>
      <c r="CK63">
        <v>2</v>
      </c>
      <c r="CL63">
        <v>0</v>
      </c>
      <c r="CM63">
        <v>2</v>
      </c>
      <c r="CN63">
        <v>0</v>
      </c>
      <c r="CO63">
        <v>7</v>
      </c>
      <c r="CP63" t="s">
        <v>119</v>
      </c>
      <c r="CQ63">
        <v>197</v>
      </c>
      <c r="CR63">
        <v>2</v>
      </c>
      <c r="CW63">
        <v>2116046</v>
      </c>
      <c r="CY63">
        <v>1</v>
      </c>
      <c r="CZ63">
        <v>0</v>
      </c>
      <c r="DA63">
        <v>0</v>
      </c>
      <c r="DB63">
        <v>0</v>
      </c>
      <c r="DC63">
        <v>0</v>
      </c>
      <c r="DD63">
        <v>0</v>
      </c>
      <c r="DE63">
        <v>0</v>
      </c>
      <c r="DF63">
        <v>0</v>
      </c>
      <c r="DG63">
        <v>0</v>
      </c>
      <c r="DH63">
        <v>0</v>
      </c>
      <c r="DI63">
        <v>0</v>
      </c>
    </row>
    <row r="64" spans="1:113" x14ac:dyDescent="0.3">
      <c r="A64" t="str">
        <f>"09/28/2021 13:51:00.244"</f>
        <v>09/28/2021 13:51:00.244</v>
      </c>
      <c r="C64" t="str">
        <f t="shared" si="5"/>
        <v>FFDFD3C0</v>
      </c>
      <c r="D64" t="s">
        <v>113</v>
      </c>
      <c r="E64">
        <v>7</v>
      </c>
      <c r="H64">
        <v>170</v>
      </c>
      <c r="I64" t="s">
        <v>114</v>
      </c>
      <c r="J64" t="s">
        <v>115</v>
      </c>
      <c r="K64">
        <v>0</v>
      </c>
      <c r="L64">
        <v>3</v>
      </c>
      <c r="M64">
        <v>0</v>
      </c>
      <c r="N64">
        <v>2</v>
      </c>
      <c r="O64">
        <v>1</v>
      </c>
      <c r="P64">
        <v>0</v>
      </c>
      <c r="Q64">
        <v>0</v>
      </c>
      <c r="S64" t="str">
        <f>"13:51:00.047"</f>
        <v>13:51:00.047</v>
      </c>
      <c r="T64" t="str">
        <f>"13:50:59.547"</f>
        <v>13:50:59.547</v>
      </c>
      <c r="U64" t="str">
        <f t="shared" si="1"/>
        <v>A92BC1</v>
      </c>
      <c r="V64">
        <v>0</v>
      </c>
      <c r="W64">
        <v>0</v>
      </c>
      <c r="X64">
        <v>2</v>
      </c>
      <c r="Z64">
        <v>0</v>
      </c>
      <c r="AA64">
        <v>9</v>
      </c>
      <c r="AB64">
        <v>3</v>
      </c>
      <c r="AC64">
        <v>0</v>
      </c>
      <c r="AD64">
        <v>10</v>
      </c>
      <c r="AE64">
        <v>0</v>
      </c>
      <c r="AF64">
        <v>3</v>
      </c>
      <c r="AG64">
        <v>2</v>
      </c>
      <c r="AH64">
        <v>0</v>
      </c>
      <c r="AI64" t="s">
        <v>173</v>
      </c>
      <c r="AJ64">
        <v>45.634653999999998</v>
      </c>
      <c r="AK64" t="s">
        <v>174</v>
      </c>
      <c r="AL64">
        <v>-89.501773999999997</v>
      </c>
      <c r="AM64">
        <v>100</v>
      </c>
      <c r="AN64">
        <v>2600</v>
      </c>
      <c r="AO64" t="s">
        <v>118</v>
      </c>
      <c r="AP64">
        <v>-96</v>
      </c>
      <c r="AQ64">
        <v>117</v>
      </c>
      <c r="AR64">
        <v>2688</v>
      </c>
      <c r="AZ64">
        <v>1200</v>
      </c>
      <c r="BA64">
        <v>1</v>
      </c>
      <c r="BB64" t="str">
        <f t="shared" si="6"/>
        <v xml:space="preserve">N690LS  </v>
      </c>
      <c r="BC64">
        <v>1</v>
      </c>
      <c r="BE64">
        <v>0</v>
      </c>
      <c r="BF64">
        <v>0</v>
      </c>
      <c r="BG64">
        <v>0</v>
      </c>
      <c r="BH64">
        <v>2600</v>
      </c>
      <c r="BI64">
        <v>1</v>
      </c>
      <c r="BJ64">
        <v>1</v>
      </c>
      <c r="BK64">
        <v>1</v>
      </c>
      <c r="BL64">
        <v>0</v>
      </c>
      <c r="BO64">
        <v>0</v>
      </c>
      <c r="BP64">
        <v>0</v>
      </c>
      <c r="BW64" t="str">
        <f>"13:51:00.052"</f>
        <v>13:51:00.052</v>
      </c>
      <c r="CJ64">
        <v>0</v>
      </c>
      <c r="CK64">
        <v>2</v>
      </c>
      <c r="CL64">
        <v>0</v>
      </c>
      <c r="CM64">
        <v>2</v>
      </c>
      <c r="CN64">
        <v>0</v>
      </c>
      <c r="CO64">
        <v>7</v>
      </c>
      <c r="CP64" t="s">
        <v>119</v>
      </c>
      <c r="CQ64">
        <v>197</v>
      </c>
      <c r="CR64">
        <v>2</v>
      </c>
      <c r="CW64">
        <v>2116046</v>
      </c>
      <c r="CY64">
        <v>1</v>
      </c>
      <c r="CZ64">
        <v>0</v>
      </c>
      <c r="DA64">
        <v>1</v>
      </c>
      <c r="DB64">
        <v>0</v>
      </c>
      <c r="DC64">
        <v>0</v>
      </c>
      <c r="DD64">
        <v>0</v>
      </c>
      <c r="DE64">
        <v>0</v>
      </c>
      <c r="DF64">
        <v>0</v>
      </c>
      <c r="DG64">
        <v>0</v>
      </c>
      <c r="DH64">
        <v>0</v>
      </c>
      <c r="DI64">
        <v>0</v>
      </c>
    </row>
    <row r="65" spans="1:113" x14ac:dyDescent="0.3">
      <c r="A65" t="str">
        <f>"09/28/2021 13:51:01.260"</f>
        <v>09/28/2021 13:51:01.260</v>
      </c>
      <c r="C65" t="str">
        <f t="shared" si="5"/>
        <v>FFDFD3C0</v>
      </c>
      <c r="D65" t="s">
        <v>113</v>
      </c>
      <c r="E65">
        <v>7</v>
      </c>
      <c r="H65">
        <v>170</v>
      </c>
      <c r="I65" t="s">
        <v>114</v>
      </c>
      <c r="J65" t="s">
        <v>115</v>
      </c>
      <c r="K65">
        <v>0</v>
      </c>
      <c r="L65">
        <v>3</v>
      </c>
      <c r="M65">
        <v>0</v>
      </c>
      <c r="N65">
        <v>2</v>
      </c>
      <c r="O65">
        <v>1</v>
      </c>
      <c r="P65">
        <v>0</v>
      </c>
      <c r="Q65">
        <v>0</v>
      </c>
      <c r="S65" t="str">
        <f>"13:51:01.039"</f>
        <v>13:51:01.039</v>
      </c>
      <c r="T65" t="str">
        <f>"13:51:00.539"</f>
        <v>13:51:00.539</v>
      </c>
      <c r="U65" t="str">
        <f t="shared" si="1"/>
        <v>A92BC1</v>
      </c>
      <c r="V65">
        <v>0</v>
      </c>
      <c r="W65">
        <v>0</v>
      </c>
      <c r="X65">
        <v>2</v>
      </c>
      <c r="Z65">
        <v>0</v>
      </c>
      <c r="AA65">
        <v>9</v>
      </c>
      <c r="AB65">
        <v>3</v>
      </c>
      <c r="AC65">
        <v>0</v>
      </c>
      <c r="AD65">
        <v>10</v>
      </c>
      <c r="AE65">
        <v>0</v>
      </c>
      <c r="AF65">
        <v>3</v>
      </c>
      <c r="AG65">
        <v>2</v>
      </c>
      <c r="AH65">
        <v>0</v>
      </c>
      <c r="AI65" t="s">
        <v>175</v>
      </c>
      <c r="AJ65">
        <v>45.635210999999998</v>
      </c>
      <c r="AK65" t="s">
        <v>176</v>
      </c>
      <c r="AL65">
        <v>-89.502397000000002</v>
      </c>
      <c r="AM65">
        <v>100</v>
      </c>
      <c r="AN65">
        <v>2600</v>
      </c>
      <c r="AO65" t="s">
        <v>118</v>
      </c>
      <c r="AP65">
        <v>-89</v>
      </c>
      <c r="AQ65">
        <v>123</v>
      </c>
      <c r="AR65">
        <v>2752</v>
      </c>
      <c r="AZ65">
        <v>1200</v>
      </c>
      <c r="BA65">
        <v>1</v>
      </c>
      <c r="BB65" t="str">
        <f t="shared" si="6"/>
        <v xml:space="preserve">N690LS  </v>
      </c>
      <c r="BC65">
        <v>1</v>
      </c>
      <c r="BE65">
        <v>0</v>
      </c>
      <c r="BF65">
        <v>0</v>
      </c>
      <c r="BG65">
        <v>0</v>
      </c>
      <c r="BH65">
        <v>2650</v>
      </c>
      <c r="BI65">
        <v>1</v>
      </c>
      <c r="BJ65">
        <v>1</v>
      </c>
      <c r="BK65">
        <v>1</v>
      </c>
      <c r="BL65">
        <v>0</v>
      </c>
      <c r="BO65">
        <v>0</v>
      </c>
      <c r="BP65">
        <v>0</v>
      </c>
      <c r="BW65" t="str">
        <f>"13:51:01.042"</f>
        <v>13:51:01.042</v>
      </c>
      <c r="CJ65">
        <v>0</v>
      </c>
      <c r="CK65">
        <v>2</v>
      </c>
      <c r="CL65">
        <v>0</v>
      </c>
      <c r="CM65">
        <v>2</v>
      </c>
      <c r="CN65">
        <v>0</v>
      </c>
      <c r="CO65">
        <v>3</v>
      </c>
      <c r="CP65" t="s">
        <v>119</v>
      </c>
      <c r="CQ65">
        <v>209</v>
      </c>
      <c r="CR65">
        <v>3</v>
      </c>
      <c r="CW65">
        <v>7120033</v>
      </c>
      <c r="CY65">
        <v>1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0</v>
      </c>
      <c r="DH65">
        <v>0</v>
      </c>
      <c r="DI65">
        <v>0</v>
      </c>
    </row>
    <row r="66" spans="1:113" x14ac:dyDescent="0.3">
      <c r="A66" t="str">
        <f>"09/28/2021 13:51:01.260"</f>
        <v>09/28/2021 13:51:01.260</v>
      </c>
      <c r="C66" t="str">
        <f t="shared" si="5"/>
        <v>FFDFD3C0</v>
      </c>
      <c r="D66" t="s">
        <v>120</v>
      </c>
      <c r="E66">
        <v>12</v>
      </c>
      <c r="F66">
        <v>1012</v>
      </c>
      <c r="G66" t="s">
        <v>114</v>
      </c>
      <c r="J66" t="s">
        <v>121</v>
      </c>
      <c r="K66">
        <v>0</v>
      </c>
      <c r="L66">
        <v>3</v>
      </c>
      <c r="M66">
        <v>0</v>
      </c>
      <c r="N66">
        <v>2</v>
      </c>
      <c r="O66">
        <v>1</v>
      </c>
      <c r="P66">
        <v>0</v>
      </c>
      <c r="Q66">
        <v>0</v>
      </c>
      <c r="S66" t="str">
        <f>"13:51:01.039"</f>
        <v>13:51:01.039</v>
      </c>
      <c r="T66" t="str">
        <f>"13:51:00.539"</f>
        <v>13:51:00.539</v>
      </c>
      <c r="U66" t="str">
        <f t="shared" ref="U66:U129" si="7">"A92BC1"</f>
        <v>A92BC1</v>
      </c>
      <c r="V66">
        <v>0</v>
      </c>
      <c r="W66">
        <v>0</v>
      </c>
      <c r="X66">
        <v>2</v>
      </c>
      <c r="Z66">
        <v>0</v>
      </c>
      <c r="AA66">
        <v>9</v>
      </c>
      <c r="AB66">
        <v>3</v>
      </c>
      <c r="AC66">
        <v>0</v>
      </c>
      <c r="AD66">
        <v>10</v>
      </c>
      <c r="AE66">
        <v>0</v>
      </c>
      <c r="AF66">
        <v>3</v>
      </c>
      <c r="AG66">
        <v>2</v>
      </c>
      <c r="AH66">
        <v>0</v>
      </c>
      <c r="AI66" t="s">
        <v>175</v>
      </c>
      <c r="AJ66">
        <v>45.635210999999998</v>
      </c>
      <c r="AK66" t="s">
        <v>176</v>
      </c>
      <c r="AL66">
        <v>-89.502397000000002</v>
      </c>
      <c r="AM66">
        <v>100</v>
      </c>
      <c r="AN66">
        <v>2600</v>
      </c>
      <c r="AO66" t="s">
        <v>118</v>
      </c>
      <c r="AP66">
        <v>-89</v>
      </c>
      <c r="AQ66">
        <v>123</v>
      </c>
      <c r="AR66">
        <v>2752</v>
      </c>
      <c r="AZ66">
        <v>1200</v>
      </c>
      <c r="BA66">
        <v>1</v>
      </c>
      <c r="BB66" t="str">
        <f t="shared" si="6"/>
        <v xml:space="preserve">N690LS  </v>
      </c>
      <c r="BC66">
        <v>1</v>
      </c>
      <c r="BE66">
        <v>0</v>
      </c>
      <c r="BF66">
        <v>0</v>
      </c>
      <c r="BG66">
        <v>0</v>
      </c>
      <c r="BH66">
        <v>2650</v>
      </c>
      <c r="BI66">
        <v>1</v>
      </c>
      <c r="BJ66">
        <v>1</v>
      </c>
      <c r="BK66">
        <v>1</v>
      </c>
      <c r="BL66">
        <v>0</v>
      </c>
      <c r="BO66">
        <v>0</v>
      </c>
      <c r="BP66">
        <v>0</v>
      </c>
      <c r="BW66" t="str">
        <f>"13:51:01.042"</f>
        <v>13:51:01.042</v>
      </c>
      <c r="CJ66">
        <v>0</v>
      </c>
      <c r="CK66">
        <v>2</v>
      </c>
      <c r="CL66">
        <v>0</v>
      </c>
      <c r="CM66">
        <v>2</v>
      </c>
      <c r="CN66">
        <v>0</v>
      </c>
      <c r="CO66">
        <v>3</v>
      </c>
      <c r="CP66" t="s">
        <v>119</v>
      </c>
      <c r="CQ66">
        <v>209</v>
      </c>
      <c r="CR66">
        <v>3</v>
      </c>
      <c r="CW66">
        <v>7120033</v>
      </c>
      <c r="CY66">
        <v>1</v>
      </c>
      <c r="CZ66">
        <v>0</v>
      </c>
      <c r="DA66">
        <v>1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</row>
    <row r="67" spans="1:113" x14ac:dyDescent="0.3">
      <c r="A67" t="str">
        <f>"09/28/2021 13:51:02.368"</f>
        <v>09/28/2021 13:51:02.368</v>
      </c>
      <c r="C67" t="str">
        <f t="shared" si="5"/>
        <v>FFDFD3C0</v>
      </c>
      <c r="D67" t="s">
        <v>113</v>
      </c>
      <c r="E67">
        <v>7</v>
      </c>
      <c r="H67">
        <v>170</v>
      </c>
      <c r="I67" t="s">
        <v>114</v>
      </c>
      <c r="J67" t="s">
        <v>115</v>
      </c>
      <c r="K67">
        <v>0</v>
      </c>
      <c r="L67">
        <v>3</v>
      </c>
      <c r="M67">
        <v>0</v>
      </c>
      <c r="N67">
        <v>2</v>
      </c>
      <c r="O67">
        <v>1</v>
      </c>
      <c r="P67">
        <v>0</v>
      </c>
      <c r="Q67">
        <v>0</v>
      </c>
      <c r="S67" t="str">
        <f>"13:51:02.148"</f>
        <v>13:51:02.148</v>
      </c>
      <c r="T67" t="str">
        <f>"13:51:01.648"</f>
        <v>13:51:01.648</v>
      </c>
      <c r="U67" t="str">
        <f t="shared" si="7"/>
        <v>A92BC1</v>
      </c>
      <c r="V67">
        <v>0</v>
      </c>
      <c r="W67">
        <v>0</v>
      </c>
      <c r="X67">
        <v>2</v>
      </c>
      <c r="Z67">
        <v>0</v>
      </c>
      <c r="AA67">
        <v>9</v>
      </c>
      <c r="AB67">
        <v>3</v>
      </c>
      <c r="AC67">
        <v>0</v>
      </c>
      <c r="AD67">
        <v>10</v>
      </c>
      <c r="AE67">
        <v>0</v>
      </c>
      <c r="AF67">
        <v>3</v>
      </c>
      <c r="AG67">
        <v>2</v>
      </c>
      <c r="AH67">
        <v>0</v>
      </c>
      <c r="AI67" t="s">
        <v>177</v>
      </c>
      <c r="AJ67">
        <v>45.635877000000001</v>
      </c>
      <c r="AK67" t="s">
        <v>178</v>
      </c>
      <c r="AL67">
        <v>-89.502932999999999</v>
      </c>
      <c r="AM67">
        <v>100</v>
      </c>
      <c r="AN67">
        <v>2700</v>
      </c>
      <c r="AO67" t="s">
        <v>118</v>
      </c>
      <c r="AP67">
        <v>-80</v>
      </c>
      <c r="AQ67">
        <v>128</v>
      </c>
      <c r="AR67">
        <v>2944</v>
      </c>
      <c r="AZ67">
        <v>1200</v>
      </c>
      <c r="BA67">
        <v>1</v>
      </c>
      <c r="BB67" t="str">
        <f t="shared" si="6"/>
        <v xml:space="preserve">N690LS  </v>
      </c>
      <c r="BC67">
        <v>1</v>
      </c>
      <c r="BE67">
        <v>0</v>
      </c>
      <c r="BF67">
        <v>0</v>
      </c>
      <c r="BG67">
        <v>0</v>
      </c>
      <c r="BH67">
        <v>2700</v>
      </c>
      <c r="BI67">
        <v>1</v>
      </c>
      <c r="BJ67">
        <v>1</v>
      </c>
      <c r="BK67">
        <v>1</v>
      </c>
      <c r="BL67">
        <v>0</v>
      </c>
      <c r="BO67">
        <v>0</v>
      </c>
      <c r="BP67">
        <v>0</v>
      </c>
      <c r="BW67" t="str">
        <f>"13:51:02.153"</f>
        <v>13:51:02.153</v>
      </c>
      <c r="CJ67">
        <v>0</v>
      </c>
      <c r="CK67">
        <v>2</v>
      </c>
      <c r="CL67">
        <v>0</v>
      </c>
      <c r="CM67">
        <v>2</v>
      </c>
      <c r="CN67">
        <v>0</v>
      </c>
      <c r="CO67">
        <v>4</v>
      </c>
      <c r="CP67" t="s">
        <v>119</v>
      </c>
      <c r="CQ67">
        <v>209</v>
      </c>
      <c r="CR67">
        <v>3</v>
      </c>
      <c r="CW67">
        <v>7120355</v>
      </c>
      <c r="CY67">
        <v>1</v>
      </c>
      <c r="CZ67">
        <v>0</v>
      </c>
      <c r="DA67">
        <v>0</v>
      </c>
      <c r="DB67">
        <v>0</v>
      </c>
      <c r="DC67">
        <v>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</row>
    <row r="68" spans="1:113" x14ac:dyDescent="0.3">
      <c r="A68" t="str">
        <f>"09/28/2021 13:51:02.399"</f>
        <v>09/28/2021 13:51:02.399</v>
      </c>
      <c r="C68" t="str">
        <f t="shared" si="5"/>
        <v>FFDFD3C0</v>
      </c>
      <c r="D68" t="s">
        <v>120</v>
      </c>
      <c r="E68">
        <v>12</v>
      </c>
      <c r="F68">
        <v>1012</v>
      </c>
      <c r="G68" t="s">
        <v>114</v>
      </c>
      <c r="J68" t="s">
        <v>121</v>
      </c>
      <c r="K68">
        <v>0</v>
      </c>
      <c r="L68">
        <v>3</v>
      </c>
      <c r="M68">
        <v>0</v>
      </c>
      <c r="N68">
        <v>2</v>
      </c>
      <c r="O68">
        <v>1</v>
      </c>
      <c r="P68">
        <v>0</v>
      </c>
      <c r="Q68">
        <v>0</v>
      </c>
      <c r="S68" t="str">
        <f>"13:51:02.148"</f>
        <v>13:51:02.148</v>
      </c>
      <c r="T68" t="str">
        <f>"13:51:01.648"</f>
        <v>13:51:01.648</v>
      </c>
      <c r="U68" t="str">
        <f t="shared" si="7"/>
        <v>A92BC1</v>
      </c>
      <c r="V68">
        <v>0</v>
      </c>
      <c r="W68">
        <v>0</v>
      </c>
      <c r="X68">
        <v>2</v>
      </c>
      <c r="Z68">
        <v>0</v>
      </c>
      <c r="AA68">
        <v>9</v>
      </c>
      <c r="AB68">
        <v>3</v>
      </c>
      <c r="AC68">
        <v>0</v>
      </c>
      <c r="AD68">
        <v>10</v>
      </c>
      <c r="AE68">
        <v>0</v>
      </c>
      <c r="AF68">
        <v>3</v>
      </c>
      <c r="AG68">
        <v>2</v>
      </c>
      <c r="AH68">
        <v>0</v>
      </c>
      <c r="AI68" t="s">
        <v>177</v>
      </c>
      <c r="AJ68">
        <v>45.635877000000001</v>
      </c>
      <c r="AK68" t="s">
        <v>178</v>
      </c>
      <c r="AL68">
        <v>-89.502932999999999</v>
      </c>
      <c r="AM68">
        <v>100</v>
      </c>
      <c r="AN68">
        <v>2700</v>
      </c>
      <c r="AO68" t="s">
        <v>118</v>
      </c>
      <c r="AP68">
        <v>-80</v>
      </c>
      <c r="AQ68">
        <v>128</v>
      </c>
      <c r="AR68">
        <v>2944</v>
      </c>
      <c r="AZ68">
        <v>1200</v>
      </c>
      <c r="BA68">
        <v>1</v>
      </c>
      <c r="BB68" t="str">
        <f t="shared" si="6"/>
        <v xml:space="preserve">N690LS  </v>
      </c>
      <c r="BC68">
        <v>1</v>
      </c>
      <c r="BE68">
        <v>0</v>
      </c>
      <c r="BF68">
        <v>0</v>
      </c>
      <c r="BG68">
        <v>0</v>
      </c>
      <c r="BH68">
        <v>2700</v>
      </c>
      <c r="BI68">
        <v>1</v>
      </c>
      <c r="BJ68">
        <v>1</v>
      </c>
      <c r="BK68">
        <v>1</v>
      </c>
      <c r="BL68">
        <v>0</v>
      </c>
      <c r="BO68">
        <v>0</v>
      </c>
      <c r="BP68">
        <v>0</v>
      </c>
      <c r="BW68" t="str">
        <f>"13:51:02.153"</f>
        <v>13:51:02.153</v>
      </c>
      <c r="CJ68">
        <v>0</v>
      </c>
      <c r="CK68">
        <v>2</v>
      </c>
      <c r="CL68">
        <v>0</v>
      </c>
      <c r="CM68">
        <v>2</v>
      </c>
      <c r="CN68">
        <v>0</v>
      </c>
      <c r="CO68">
        <v>4</v>
      </c>
      <c r="CP68" t="s">
        <v>119</v>
      </c>
      <c r="CQ68">
        <v>209</v>
      </c>
      <c r="CR68">
        <v>3</v>
      </c>
      <c r="CW68">
        <v>7120355</v>
      </c>
      <c r="CY68">
        <v>1</v>
      </c>
      <c r="CZ68">
        <v>0</v>
      </c>
      <c r="DA68">
        <v>1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</row>
    <row r="69" spans="1:113" x14ac:dyDescent="0.3">
      <c r="A69" t="str">
        <f>"09/28/2021 13:51:03.259"</f>
        <v>09/28/2021 13:51:03.259</v>
      </c>
      <c r="C69" t="str">
        <f t="shared" si="5"/>
        <v>FFDFD3C0</v>
      </c>
      <c r="D69" t="s">
        <v>120</v>
      </c>
      <c r="E69">
        <v>12</v>
      </c>
      <c r="F69">
        <v>1012</v>
      </c>
      <c r="G69" t="s">
        <v>114</v>
      </c>
      <c r="J69" t="s">
        <v>121</v>
      </c>
      <c r="K69">
        <v>0</v>
      </c>
      <c r="L69">
        <v>3</v>
      </c>
      <c r="M69">
        <v>0</v>
      </c>
      <c r="N69">
        <v>2</v>
      </c>
      <c r="O69">
        <v>1</v>
      </c>
      <c r="P69">
        <v>0</v>
      </c>
      <c r="Q69">
        <v>0</v>
      </c>
      <c r="S69" t="str">
        <f>"13:51:03.039"</f>
        <v>13:51:03.039</v>
      </c>
      <c r="T69" t="str">
        <f>"13:51:02.639"</f>
        <v>13:51:02.639</v>
      </c>
      <c r="U69" t="str">
        <f t="shared" si="7"/>
        <v>A92BC1</v>
      </c>
      <c r="V69">
        <v>0</v>
      </c>
      <c r="W69">
        <v>0</v>
      </c>
      <c r="X69">
        <v>2</v>
      </c>
      <c r="Z69">
        <v>0</v>
      </c>
      <c r="AA69">
        <v>9</v>
      </c>
      <c r="AB69">
        <v>3</v>
      </c>
      <c r="AC69">
        <v>0</v>
      </c>
      <c r="AD69">
        <v>10</v>
      </c>
      <c r="AE69">
        <v>0</v>
      </c>
      <c r="AF69">
        <v>3</v>
      </c>
      <c r="AG69">
        <v>2</v>
      </c>
      <c r="AH69">
        <v>0</v>
      </c>
      <c r="AI69" t="s">
        <v>179</v>
      </c>
      <c r="AJ69">
        <v>45.636412999999997</v>
      </c>
      <c r="AK69" t="s">
        <v>180</v>
      </c>
      <c r="AL69">
        <v>-89.503341000000006</v>
      </c>
      <c r="AM69">
        <v>100</v>
      </c>
      <c r="AN69">
        <v>2700</v>
      </c>
      <c r="AO69" t="s">
        <v>118</v>
      </c>
      <c r="AP69">
        <v>-73</v>
      </c>
      <c r="AQ69">
        <v>131</v>
      </c>
      <c r="AR69">
        <v>3072</v>
      </c>
      <c r="AZ69">
        <v>1200</v>
      </c>
      <c r="BA69">
        <v>1</v>
      </c>
      <c r="BB69" t="str">
        <f t="shared" si="6"/>
        <v xml:space="preserve">N690LS  </v>
      </c>
      <c r="BC69">
        <v>1</v>
      </c>
      <c r="BE69">
        <v>0</v>
      </c>
      <c r="BF69">
        <v>0</v>
      </c>
      <c r="BG69">
        <v>0</v>
      </c>
      <c r="BH69">
        <v>2750</v>
      </c>
      <c r="BI69">
        <v>1</v>
      </c>
      <c r="BJ69">
        <v>1</v>
      </c>
      <c r="BK69">
        <v>1</v>
      </c>
      <c r="BL69">
        <v>0</v>
      </c>
      <c r="BO69">
        <v>0</v>
      </c>
      <c r="BP69">
        <v>0</v>
      </c>
      <c r="BW69" t="str">
        <f>"13:51:03.042"</f>
        <v>13:51:03.042</v>
      </c>
      <c r="CJ69">
        <v>0</v>
      </c>
      <c r="CK69">
        <v>2</v>
      </c>
      <c r="CL69">
        <v>0</v>
      </c>
      <c r="CM69">
        <v>2</v>
      </c>
      <c r="CN69">
        <v>0</v>
      </c>
      <c r="CO69">
        <v>7</v>
      </c>
      <c r="CP69" t="s">
        <v>119</v>
      </c>
      <c r="CQ69">
        <v>197</v>
      </c>
      <c r="CR69">
        <v>2</v>
      </c>
      <c r="CW69">
        <v>2118772</v>
      </c>
      <c r="CY69">
        <v>1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</row>
    <row r="70" spans="1:113" x14ac:dyDescent="0.3">
      <c r="A70" t="str">
        <f>"09/28/2021 13:51:03.259"</f>
        <v>09/28/2021 13:51:03.259</v>
      </c>
      <c r="C70" t="str">
        <f t="shared" si="5"/>
        <v>FFDFD3C0</v>
      </c>
      <c r="D70" t="s">
        <v>113</v>
      </c>
      <c r="E70">
        <v>7</v>
      </c>
      <c r="H70">
        <v>170</v>
      </c>
      <c r="I70" t="s">
        <v>114</v>
      </c>
      <c r="J70" t="s">
        <v>115</v>
      </c>
      <c r="K70">
        <v>0</v>
      </c>
      <c r="L70">
        <v>3</v>
      </c>
      <c r="M70">
        <v>0</v>
      </c>
      <c r="N70">
        <v>2</v>
      </c>
      <c r="O70">
        <v>1</v>
      </c>
      <c r="P70">
        <v>0</v>
      </c>
      <c r="Q70">
        <v>0</v>
      </c>
      <c r="S70" t="str">
        <f>"13:51:03.039"</f>
        <v>13:51:03.039</v>
      </c>
      <c r="T70" t="str">
        <f>"13:51:02.639"</f>
        <v>13:51:02.639</v>
      </c>
      <c r="U70" t="str">
        <f t="shared" si="7"/>
        <v>A92BC1</v>
      </c>
      <c r="V70">
        <v>0</v>
      </c>
      <c r="W70">
        <v>0</v>
      </c>
      <c r="X70">
        <v>2</v>
      </c>
      <c r="Z70">
        <v>0</v>
      </c>
      <c r="AA70">
        <v>9</v>
      </c>
      <c r="AB70">
        <v>3</v>
      </c>
      <c r="AC70">
        <v>0</v>
      </c>
      <c r="AD70">
        <v>10</v>
      </c>
      <c r="AE70">
        <v>0</v>
      </c>
      <c r="AF70">
        <v>3</v>
      </c>
      <c r="AG70">
        <v>2</v>
      </c>
      <c r="AH70">
        <v>0</v>
      </c>
      <c r="AI70" t="s">
        <v>179</v>
      </c>
      <c r="AJ70">
        <v>45.636412999999997</v>
      </c>
      <c r="AK70" t="s">
        <v>180</v>
      </c>
      <c r="AL70">
        <v>-89.503341000000006</v>
      </c>
      <c r="AM70">
        <v>100</v>
      </c>
      <c r="AN70">
        <v>2700</v>
      </c>
      <c r="AO70" t="s">
        <v>118</v>
      </c>
      <c r="AP70">
        <v>-73</v>
      </c>
      <c r="AQ70">
        <v>131</v>
      </c>
      <c r="AR70">
        <v>3072</v>
      </c>
      <c r="AZ70">
        <v>1200</v>
      </c>
      <c r="BA70">
        <v>1</v>
      </c>
      <c r="BB70" t="str">
        <f t="shared" si="6"/>
        <v xml:space="preserve">N690LS  </v>
      </c>
      <c r="BC70">
        <v>1</v>
      </c>
      <c r="BE70">
        <v>0</v>
      </c>
      <c r="BF70">
        <v>0</v>
      </c>
      <c r="BG70">
        <v>0</v>
      </c>
      <c r="BH70">
        <v>2750</v>
      </c>
      <c r="BI70">
        <v>1</v>
      </c>
      <c r="BJ70">
        <v>1</v>
      </c>
      <c r="BK70">
        <v>1</v>
      </c>
      <c r="BL70">
        <v>0</v>
      </c>
      <c r="BO70">
        <v>0</v>
      </c>
      <c r="BP70">
        <v>0</v>
      </c>
      <c r="BW70" t="str">
        <f>"13:51:03.042"</f>
        <v>13:51:03.042</v>
      </c>
      <c r="CJ70">
        <v>0</v>
      </c>
      <c r="CK70">
        <v>2</v>
      </c>
      <c r="CL70">
        <v>0</v>
      </c>
      <c r="CM70">
        <v>2</v>
      </c>
      <c r="CN70">
        <v>0</v>
      </c>
      <c r="CO70">
        <v>7</v>
      </c>
      <c r="CP70" t="s">
        <v>119</v>
      </c>
      <c r="CQ70">
        <v>197</v>
      </c>
      <c r="CR70">
        <v>2</v>
      </c>
      <c r="CW70">
        <v>2118772</v>
      </c>
      <c r="CY70">
        <v>1</v>
      </c>
      <c r="CZ70">
        <v>0</v>
      </c>
      <c r="DA70">
        <v>1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</row>
    <row r="71" spans="1:113" x14ac:dyDescent="0.3">
      <c r="A71" t="str">
        <f>"09/28/2021 13:51:04.369"</f>
        <v>09/28/2021 13:51:04.369</v>
      </c>
      <c r="C71" t="str">
        <f t="shared" si="5"/>
        <v>FFDFD3C0</v>
      </c>
      <c r="D71" t="s">
        <v>120</v>
      </c>
      <c r="E71">
        <v>12</v>
      </c>
      <c r="F71">
        <v>1012</v>
      </c>
      <c r="G71" t="s">
        <v>114</v>
      </c>
      <c r="J71" t="s">
        <v>121</v>
      </c>
      <c r="K71">
        <v>0</v>
      </c>
      <c r="L71">
        <v>3</v>
      </c>
      <c r="M71">
        <v>0</v>
      </c>
      <c r="N71">
        <v>2</v>
      </c>
      <c r="O71">
        <v>1</v>
      </c>
      <c r="P71">
        <v>0</v>
      </c>
      <c r="Q71">
        <v>0</v>
      </c>
      <c r="S71" t="str">
        <f>"13:51:04.109"</f>
        <v>13:51:04.109</v>
      </c>
      <c r="T71" t="str">
        <f>"13:51:03.609"</f>
        <v>13:51:03.609</v>
      </c>
      <c r="U71" t="str">
        <f t="shared" si="7"/>
        <v>A92BC1</v>
      </c>
      <c r="V71">
        <v>0</v>
      </c>
      <c r="W71">
        <v>0</v>
      </c>
      <c r="X71">
        <v>2</v>
      </c>
      <c r="Z71">
        <v>0</v>
      </c>
      <c r="AA71">
        <v>9</v>
      </c>
      <c r="AB71">
        <v>3</v>
      </c>
      <c r="AC71">
        <v>0</v>
      </c>
      <c r="AD71">
        <v>10</v>
      </c>
      <c r="AE71">
        <v>0</v>
      </c>
      <c r="AF71">
        <v>3</v>
      </c>
      <c r="AG71">
        <v>2</v>
      </c>
      <c r="AH71">
        <v>0</v>
      </c>
      <c r="AI71" t="s">
        <v>181</v>
      </c>
      <c r="AJ71">
        <v>45.637014000000001</v>
      </c>
      <c r="AK71" t="s">
        <v>182</v>
      </c>
      <c r="AL71">
        <v>-89.503770000000003</v>
      </c>
      <c r="AM71">
        <v>100</v>
      </c>
      <c r="AN71">
        <v>2800</v>
      </c>
      <c r="AO71" t="s">
        <v>118</v>
      </c>
      <c r="AP71">
        <v>-66</v>
      </c>
      <c r="AQ71">
        <v>134</v>
      </c>
      <c r="AR71">
        <v>3200</v>
      </c>
      <c r="AZ71">
        <v>1200</v>
      </c>
      <c r="BA71">
        <v>1</v>
      </c>
      <c r="BB71" t="str">
        <f t="shared" si="6"/>
        <v xml:space="preserve">N690LS  </v>
      </c>
      <c r="BC71">
        <v>1</v>
      </c>
      <c r="BE71">
        <v>0</v>
      </c>
      <c r="BF71">
        <v>0</v>
      </c>
      <c r="BG71">
        <v>0</v>
      </c>
      <c r="BH71">
        <v>2800</v>
      </c>
      <c r="BI71">
        <v>1</v>
      </c>
      <c r="BJ71">
        <v>1</v>
      </c>
      <c r="BK71">
        <v>1</v>
      </c>
      <c r="BL71">
        <v>0</v>
      </c>
      <c r="BO71">
        <v>0</v>
      </c>
      <c r="BP71">
        <v>0</v>
      </c>
      <c r="BW71" t="str">
        <f>"13:51:04.112"</f>
        <v>13:51:04.112</v>
      </c>
      <c r="CJ71">
        <v>0</v>
      </c>
      <c r="CK71">
        <v>2</v>
      </c>
      <c r="CL71">
        <v>0</v>
      </c>
      <c r="CM71">
        <v>2</v>
      </c>
      <c r="CN71">
        <v>0</v>
      </c>
      <c r="CO71">
        <v>7</v>
      </c>
      <c r="CP71" t="s">
        <v>119</v>
      </c>
      <c r="CQ71">
        <v>197</v>
      </c>
      <c r="CR71">
        <v>2</v>
      </c>
      <c r="CW71">
        <v>2119810</v>
      </c>
      <c r="CY71">
        <v>1</v>
      </c>
      <c r="CZ71">
        <v>0</v>
      </c>
      <c r="DA71">
        <v>0</v>
      </c>
      <c r="DB71">
        <v>0</v>
      </c>
      <c r="DC71">
        <v>0</v>
      </c>
      <c r="DD71">
        <v>0</v>
      </c>
      <c r="DE71">
        <v>0</v>
      </c>
      <c r="DF71">
        <v>0</v>
      </c>
      <c r="DG71">
        <v>0</v>
      </c>
      <c r="DH71">
        <v>0</v>
      </c>
      <c r="DI71">
        <v>0</v>
      </c>
    </row>
    <row r="72" spans="1:113" x14ac:dyDescent="0.3">
      <c r="A72" t="str">
        <f>"09/28/2021 13:51:04.369"</f>
        <v>09/28/2021 13:51:04.369</v>
      </c>
      <c r="C72" t="str">
        <f t="shared" si="5"/>
        <v>FFDFD3C0</v>
      </c>
      <c r="D72" t="s">
        <v>113</v>
      </c>
      <c r="E72">
        <v>7</v>
      </c>
      <c r="H72">
        <v>170</v>
      </c>
      <c r="I72" t="s">
        <v>114</v>
      </c>
      <c r="J72" t="s">
        <v>115</v>
      </c>
      <c r="K72">
        <v>0</v>
      </c>
      <c r="L72">
        <v>3</v>
      </c>
      <c r="M72">
        <v>0</v>
      </c>
      <c r="N72">
        <v>2</v>
      </c>
      <c r="O72">
        <v>1</v>
      </c>
      <c r="P72">
        <v>0</v>
      </c>
      <c r="Q72">
        <v>0</v>
      </c>
      <c r="S72" t="str">
        <f>"13:51:04.109"</f>
        <v>13:51:04.109</v>
      </c>
      <c r="T72" t="str">
        <f>"13:51:03.609"</f>
        <v>13:51:03.609</v>
      </c>
      <c r="U72" t="str">
        <f t="shared" si="7"/>
        <v>A92BC1</v>
      </c>
      <c r="V72">
        <v>0</v>
      </c>
      <c r="W72">
        <v>0</v>
      </c>
      <c r="X72">
        <v>2</v>
      </c>
      <c r="Z72">
        <v>0</v>
      </c>
      <c r="AA72">
        <v>9</v>
      </c>
      <c r="AB72">
        <v>3</v>
      </c>
      <c r="AC72">
        <v>0</v>
      </c>
      <c r="AD72">
        <v>10</v>
      </c>
      <c r="AE72">
        <v>0</v>
      </c>
      <c r="AF72">
        <v>3</v>
      </c>
      <c r="AG72">
        <v>2</v>
      </c>
      <c r="AH72">
        <v>0</v>
      </c>
      <c r="AI72" t="s">
        <v>181</v>
      </c>
      <c r="AJ72">
        <v>45.637014000000001</v>
      </c>
      <c r="AK72" t="s">
        <v>182</v>
      </c>
      <c r="AL72">
        <v>-89.503770000000003</v>
      </c>
      <c r="AM72">
        <v>100</v>
      </c>
      <c r="AN72">
        <v>2800</v>
      </c>
      <c r="AO72" t="s">
        <v>118</v>
      </c>
      <c r="AP72">
        <v>-66</v>
      </c>
      <c r="AQ72">
        <v>134</v>
      </c>
      <c r="AR72">
        <v>3200</v>
      </c>
      <c r="AZ72">
        <v>1200</v>
      </c>
      <c r="BA72">
        <v>1</v>
      </c>
      <c r="BB72" t="str">
        <f t="shared" si="6"/>
        <v xml:space="preserve">N690LS  </v>
      </c>
      <c r="BC72">
        <v>1</v>
      </c>
      <c r="BE72">
        <v>0</v>
      </c>
      <c r="BF72">
        <v>0</v>
      </c>
      <c r="BG72">
        <v>0</v>
      </c>
      <c r="BH72">
        <v>2800</v>
      </c>
      <c r="BI72">
        <v>1</v>
      </c>
      <c r="BJ72">
        <v>1</v>
      </c>
      <c r="BK72">
        <v>1</v>
      </c>
      <c r="BL72">
        <v>0</v>
      </c>
      <c r="BO72">
        <v>0</v>
      </c>
      <c r="BP72">
        <v>0</v>
      </c>
      <c r="BW72" t="str">
        <f>"13:51:04.112"</f>
        <v>13:51:04.112</v>
      </c>
      <c r="CJ72">
        <v>0</v>
      </c>
      <c r="CK72">
        <v>2</v>
      </c>
      <c r="CL72">
        <v>0</v>
      </c>
      <c r="CM72">
        <v>2</v>
      </c>
      <c r="CN72">
        <v>0</v>
      </c>
      <c r="CO72">
        <v>7</v>
      </c>
      <c r="CP72" t="s">
        <v>119</v>
      </c>
      <c r="CQ72">
        <v>197</v>
      </c>
      <c r="CR72">
        <v>2</v>
      </c>
      <c r="CW72">
        <v>2119810</v>
      </c>
      <c r="CY72">
        <v>1</v>
      </c>
      <c r="CZ72">
        <v>0</v>
      </c>
      <c r="DA72">
        <v>1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</row>
    <row r="73" spans="1:113" x14ac:dyDescent="0.3">
      <c r="A73" t="str">
        <f>"09/28/2021 13:51:05.353"</f>
        <v>09/28/2021 13:51:05.353</v>
      </c>
      <c r="C73" t="str">
        <f t="shared" si="5"/>
        <v>FFDFD3C0</v>
      </c>
      <c r="D73" t="s">
        <v>113</v>
      </c>
      <c r="E73">
        <v>7</v>
      </c>
      <c r="H73">
        <v>170</v>
      </c>
      <c r="I73" t="s">
        <v>114</v>
      </c>
      <c r="J73" t="s">
        <v>115</v>
      </c>
      <c r="K73">
        <v>0</v>
      </c>
      <c r="L73">
        <v>3</v>
      </c>
      <c r="M73">
        <v>0</v>
      </c>
      <c r="N73">
        <v>2</v>
      </c>
      <c r="O73">
        <v>1</v>
      </c>
      <c r="P73">
        <v>0</v>
      </c>
      <c r="Q73">
        <v>0</v>
      </c>
      <c r="S73" t="str">
        <f>"13:51:05.133"</f>
        <v>13:51:05.133</v>
      </c>
      <c r="T73" t="str">
        <f>"13:51:04.733"</f>
        <v>13:51:04.733</v>
      </c>
      <c r="U73" t="str">
        <f t="shared" si="7"/>
        <v>A92BC1</v>
      </c>
      <c r="V73">
        <v>0</v>
      </c>
      <c r="W73">
        <v>0</v>
      </c>
      <c r="X73">
        <v>2</v>
      </c>
      <c r="Z73">
        <v>0</v>
      </c>
      <c r="AA73">
        <v>9</v>
      </c>
      <c r="AB73">
        <v>3</v>
      </c>
      <c r="AC73">
        <v>0</v>
      </c>
      <c r="AD73">
        <v>10</v>
      </c>
      <c r="AE73">
        <v>0</v>
      </c>
      <c r="AF73">
        <v>3</v>
      </c>
      <c r="AG73">
        <v>2</v>
      </c>
      <c r="AH73">
        <v>0</v>
      </c>
      <c r="AI73" t="s">
        <v>183</v>
      </c>
      <c r="AJ73">
        <v>45.637765000000002</v>
      </c>
      <c r="AK73" t="s">
        <v>184</v>
      </c>
      <c r="AL73">
        <v>-89.504199</v>
      </c>
      <c r="AM73">
        <v>100</v>
      </c>
      <c r="AN73">
        <v>2900</v>
      </c>
      <c r="AO73" t="s">
        <v>118</v>
      </c>
      <c r="AP73">
        <v>-57</v>
      </c>
      <c r="AQ73">
        <v>137</v>
      </c>
      <c r="AR73">
        <v>3328</v>
      </c>
      <c r="AZ73">
        <v>1200</v>
      </c>
      <c r="BA73">
        <v>1</v>
      </c>
      <c r="BB73" t="str">
        <f t="shared" si="6"/>
        <v xml:space="preserve">N690LS  </v>
      </c>
      <c r="BC73">
        <v>1</v>
      </c>
      <c r="BE73">
        <v>0</v>
      </c>
      <c r="BF73">
        <v>0</v>
      </c>
      <c r="BG73">
        <v>0</v>
      </c>
      <c r="BH73">
        <v>2850</v>
      </c>
      <c r="BI73">
        <v>1</v>
      </c>
      <c r="BJ73">
        <v>1</v>
      </c>
      <c r="BK73">
        <v>1</v>
      </c>
      <c r="BL73">
        <v>0</v>
      </c>
      <c r="BO73">
        <v>0</v>
      </c>
      <c r="BP73">
        <v>0</v>
      </c>
      <c r="BW73" t="str">
        <f>"13:51:05.135"</f>
        <v>13:51:05.135</v>
      </c>
      <c r="CJ73">
        <v>0</v>
      </c>
      <c r="CK73">
        <v>2</v>
      </c>
      <c r="CL73">
        <v>0</v>
      </c>
      <c r="CM73">
        <v>2</v>
      </c>
      <c r="CN73">
        <v>0</v>
      </c>
      <c r="CO73">
        <v>4</v>
      </c>
      <c r="CP73" t="s">
        <v>119</v>
      </c>
      <c r="CQ73">
        <v>209</v>
      </c>
      <c r="CR73">
        <v>3</v>
      </c>
      <c r="CW73">
        <v>7121285</v>
      </c>
      <c r="CY73">
        <v>1</v>
      </c>
      <c r="CZ73">
        <v>0</v>
      </c>
      <c r="DA73">
        <v>0</v>
      </c>
      <c r="DB73">
        <v>0</v>
      </c>
      <c r="DC73">
        <v>0</v>
      </c>
      <c r="DD73">
        <v>0</v>
      </c>
      <c r="DE73">
        <v>0</v>
      </c>
      <c r="DF73">
        <v>0</v>
      </c>
      <c r="DG73">
        <v>0</v>
      </c>
      <c r="DH73">
        <v>0</v>
      </c>
      <c r="DI73">
        <v>0</v>
      </c>
    </row>
    <row r="74" spans="1:113" x14ac:dyDescent="0.3">
      <c r="A74" t="str">
        <f>"09/28/2021 13:51:05.353"</f>
        <v>09/28/2021 13:51:05.353</v>
      </c>
      <c r="C74" t="str">
        <f t="shared" si="5"/>
        <v>FFDFD3C0</v>
      </c>
      <c r="D74" t="s">
        <v>120</v>
      </c>
      <c r="E74">
        <v>12</v>
      </c>
      <c r="F74">
        <v>1012</v>
      </c>
      <c r="G74" t="s">
        <v>114</v>
      </c>
      <c r="J74" t="s">
        <v>121</v>
      </c>
      <c r="K74">
        <v>0</v>
      </c>
      <c r="L74">
        <v>3</v>
      </c>
      <c r="M74">
        <v>0</v>
      </c>
      <c r="N74">
        <v>2</v>
      </c>
      <c r="O74">
        <v>1</v>
      </c>
      <c r="P74">
        <v>0</v>
      </c>
      <c r="Q74">
        <v>0</v>
      </c>
      <c r="S74" t="str">
        <f>"13:51:05.133"</f>
        <v>13:51:05.133</v>
      </c>
      <c r="T74" t="str">
        <f>"13:51:04.733"</f>
        <v>13:51:04.733</v>
      </c>
      <c r="U74" t="str">
        <f t="shared" si="7"/>
        <v>A92BC1</v>
      </c>
      <c r="V74">
        <v>0</v>
      </c>
      <c r="W74">
        <v>0</v>
      </c>
      <c r="X74">
        <v>2</v>
      </c>
      <c r="Z74">
        <v>0</v>
      </c>
      <c r="AA74">
        <v>9</v>
      </c>
      <c r="AB74">
        <v>3</v>
      </c>
      <c r="AC74">
        <v>0</v>
      </c>
      <c r="AD74">
        <v>10</v>
      </c>
      <c r="AE74">
        <v>0</v>
      </c>
      <c r="AF74">
        <v>3</v>
      </c>
      <c r="AG74">
        <v>2</v>
      </c>
      <c r="AH74">
        <v>0</v>
      </c>
      <c r="AI74" t="s">
        <v>183</v>
      </c>
      <c r="AJ74">
        <v>45.637765000000002</v>
      </c>
      <c r="AK74" t="s">
        <v>184</v>
      </c>
      <c r="AL74">
        <v>-89.504199</v>
      </c>
      <c r="AM74">
        <v>100</v>
      </c>
      <c r="AN74">
        <v>2900</v>
      </c>
      <c r="AO74" t="s">
        <v>118</v>
      </c>
      <c r="AP74">
        <v>-57</v>
      </c>
      <c r="AQ74">
        <v>137</v>
      </c>
      <c r="AR74">
        <v>3328</v>
      </c>
      <c r="AZ74">
        <v>1200</v>
      </c>
      <c r="BA74">
        <v>1</v>
      </c>
      <c r="BB74" t="str">
        <f t="shared" si="6"/>
        <v xml:space="preserve">N690LS  </v>
      </c>
      <c r="BC74">
        <v>1</v>
      </c>
      <c r="BE74">
        <v>0</v>
      </c>
      <c r="BF74">
        <v>0</v>
      </c>
      <c r="BG74">
        <v>0</v>
      </c>
      <c r="BH74">
        <v>2850</v>
      </c>
      <c r="BI74">
        <v>1</v>
      </c>
      <c r="BJ74">
        <v>1</v>
      </c>
      <c r="BK74">
        <v>1</v>
      </c>
      <c r="BL74">
        <v>0</v>
      </c>
      <c r="BO74">
        <v>0</v>
      </c>
      <c r="BP74">
        <v>0</v>
      </c>
      <c r="BW74" t="str">
        <f>"13:51:05.135"</f>
        <v>13:51:05.135</v>
      </c>
      <c r="CJ74">
        <v>0</v>
      </c>
      <c r="CK74">
        <v>2</v>
      </c>
      <c r="CL74">
        <v>0</v>
      </c>
      <c r="CM74">
        <v>2</v>
      </c>
      <c r="CN74">
        <v>0</v>
      </c>
      <c r="CO74">
        <v>4</v>
      </c>
      <c r="CP74" t="s">
        <v>119</v>
      </c>
      <c r="CQ74">
        <v>209</v>
      </c>
      <c r="CR74">
        <v>3</v>
      </c>
      <c r="CW74">
        <v>7121285</v>
      </c>
      <c r="CY74">
        <v>1</v>
      </c>
      <c r="CZ74">
        <v>0</v>
      </c>
      <c r="DA74">
        <v>1</v>
      </c>
      <c r="DB74">
        <v>0</v>
      </c>
      <c r="DC74">
        <v>0</v>
      </c>
      <c r="DD74">
        <v>0</v>
      </c>
      <c r="DE74">
        <v>0</v>
      </c>
      <c r="DF74">
        <v>0</v>
      </c>
      <c r="DG74">
        <v>0</v>
      </c>
      <c r="DH74">
        <v>0</v>
      </c>
      <c r="DI74">
        <v>0</v>
      </c>
    </row>
    <row r="75" spans="1:113" x14ac:dyDescent="0.3">
      <c r="A75" t="str">
        <f>"09/28/2021 13:51:06.571"</f>
        <v>09/28/2021 13:51:06.571</v>
      </c>
      <c r="C75" t="str">
        <f t="shared" si="5"/>
        <v>FFDFD3C0</v>
      </c>
      <c r="D75" t="s">
        <v>113</v>
      </c>
      <c r="E75">
        <v>7</v>
      </c>
      <c r="H75">
        <v>170</v>
      </c>
      <c r="I75" t="s">
        <v>114</v>
      </c>
      <c r="J75" t="s">
        <v>115</v>
      </c>
      <c r="K75">
        <v>0</v>
      </c>
      <c r="L75">
        <v>3</v>
      </c>
      <c r="M75">
        <v>0</v>
      </c>
      <c r="N75">
        <v>2</v>
      </c>
      <c r="O75">
        <v>1</v>
      </c>
      <c r="P75">
        <v>0</v>
      </c>
      <c r="Q75">
        <v>0</v>
      </c>
      <c r="S75" t="str">
        <f>"13:51:06.313"</f>
        <v>13:51:06.313</v>
      </c>
      <c r="T75" t="str">
        <f>"13:51:05.813"</f>
        <v>13:51:05.813</v>
      </c>
      <c r="U75" t="str">
        <f t="shared" si="7"/>
        <v>A92BC1</v>
      </c>
      <c r="V75">
        <v>0</v>
      </c>
      <c r="W75">
        <v>0</v>
      </c>
      <c r="X75">
        <v>2</v>
      </c>
      <c r="Z75">
        <v>0</v>
      </c>
      <c r="AA75">
        <v>9</v>
      </c>
      <c r="AB75">
        <v>3</v>
      </c>
      <c r="AC75">
        <v>0</v>
      </c>
      <c r="AD75">
        <v>10</v>
      </c>
      <c r="AE75">
        <v>0</v>
      </c>
      <c r="AF75">
        <v>3</v>
      </c>
      <c r="AG75">
        <v>2</v>
      </c>
      <c r="AH75">
        <v>0</v>
      </c>
      <c r="AI75" t="s">
        <v>185</v>
      </c>
      <c r="AJ75">
        <v>45.638472999999998</v>
      </c>
      <c r="AK75" t="s">
        <v>186</v>
      </c>
      <c r="AL75">
        <v>-89.504520999999997</v>
      </c>
      <c r="AM75">
        <v>100</v>
      </c>
      <c r="AN75">
        <v>2900</v>
      </c>
      <c r="AO75" t="s">
        <v>118</v>
      </c>
      <c r="AP75">
        <v>-50</v>
      </c>
      <c r="AQ75">
        <v>139</v>
      </c>
      <c r="AR75">
        <v>3392</v>
      </c>
      <c r="AZ75">
        <v>1200</v>
      </c>
      <c r="BA75">
        <v>1</v>
      </c>
      <c r="BB75" t="str">
        <f t="shared" si="6"/>
        <v xml:space="preserve">N690LS  </v>
      </c>
      <c r="BC75">
        <v>1</v>
      </c>
      <c r="BE75">
        <v>0</v>
      </c>
      <c r="BF75">
        <v>0</v>
      </c>
      <c r="BG75">
        <v>0</v>
      </c>
      <c r="BH75">
        <v>2925</v>
      </c>
      <c r="BI75">
        <v>1</v>
      </c>
      <c r="BJ75">
        <v>1</v>
      </c>
      <c r="BK75">
        <v>1</v>
      </c>
      <c r="BL75">
        <v>0</v>
      </c>
      <c r="BO75">
        <v>0</v>
      </c>
      <c r="BP75">
        <v>0</v>
      </c>
      <c r="BW75" t="str">
        <f>"13:51:06.318"</f>
        <v>13:51:06.318</v>
      </c>
      <c r="CJ75">
        <v>0</v>
      </c>
      <c r="CK75">
        <v>2</v>
      </c>
      <c r="CL75">
        <v>0</v>
      </c>
      <c r="CM75">
        <v>2</v>
      </c>
      <c r="CN75">
        <v>0</v>
      </c>
      <c r="CO75">
        <v>3</v>
      </c>
      <c r="CP75" t="s">
        <v>119</v>
      </c>
      <c r="CQ75">
        <v>209</v>
      </c>
      <c r="CR75">
        <v>3</v>
      </c>
      <c r="CW75">
        <v>7121663</v>
      </c>
      <c r="CY75">
        <v>1</v>
      </c>
      <c r="CZ75">
        <v>0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0</v>
      </c>
    </row>
    <row r="76" spans="1:113" x14ac:dyDescent="0.3">
      <c r="A76" t="str">
        <f>"09/28/2021 13:51:06.586"</f>
        <v>09/28/2021 13:51:06.586</v>
      </c>
      <c r="C76" t="str">
        <f t="shared" si="5"/>
        <v>FFDFD3C0</v>
      </c>
      <c r="D76" t="s">
        <v>120</v>
      </c>
      <c r="E76">
        <v>12</v>
      </c>
      <c r="F76">
        <v>1012</v>
      </c>
      <c r="G76" t="s">
        <v>114</v>
      </c>
      <c r="J76" t="s">
        <v>121</v>
      </c>
      <c r="K76">
        <v>0</v>
      </c>
      <c r="L76">
        <v>3</v>
      </c>
      <c r="M76">
        <v>0</v>
      </c>
      <c r="N76">
        <v>2</v>
      </c>
      <c r="O76">
        <v>1</v>
      </c>
      <c r="P76">
        <v>0</v>
      </c>
      <c r="Q76">
        <v>0</v>
      </c>
      <c r="S76" t="str">
        <f>"13:51:06.313"</f>
        <v>13:51:06.313</v>
      </c>
      <c r="T76" t="str">
        <f>"13:51:05.813"</f>
        <v>13:51:05.813</v>
      </c>
      <c r="U76" t="str">
        <f t="shared" si="7"/>
        <v>A92BC1</v>
      </c>
      <c r="V76">
        <v>0</v>
      </c>
      <c r="W76">
        <v>0</v>
      </c>
      <c r="X76">
        <v>2</v>
      </c>
      <c r="Z76">
        <v>0</v>
      </c>
      <c r="AA76">
        <v>9</v>
      </c>
      <c r="AB76">
        <v>3</v>
      </c>
      <c r="AC76">
        <v>0</v>
      </c>
      <c r="AD76">
        <v>10</v>
      </c>
      <c r="AE76">
        <v>0</v>
      </c>
      <c r="AF76">
        <v>3</v>
      </c>
      <c r="AG76">
        <v>2</v>
      </c>
      <c r="AH76">
        <v>0</v>
      </c>
      <c r="AI76" t="s">
        <v>185</v>
      </c>
      <c r="AJ76">
        <v>45.638472999999998</v>
      </c>
      <c r="AK76" t="s">
        <v>186</v>
      </c>
      <c r="AL76">
        <v>-89.504520999999997</v>
      </c>
      <c r="AM76">
        <v>100</v>
      </c>
      <c r="AN76">
        <v>2900</v>
      </c>
      <c r="AO76" t="s">
        <v>118</v>
      </c>
      <c r="AP76">
        <v>-50</v>
      </c>
      <c r="AQ76">
        <v>139</v>
      </c>
      <c r="AR76">
        <v>3392</v>
      </c>
      <c r="AZ76">
        <v>1200</v>
      </c>
      <c r="BA76">
        <v>1</v>
      </c>
      <c r="BB76" t="str">
        <f t="shared" si="6"/>
        <v xml:space="preserve">N690LS  </v>
      </c>
      <c r="BC76">
        <v>1</v>
      </c>
      <c r="BE76">
        <v>0</v>
      </c>
      <c r="BF76">
        <v>0</v>
      </c>
      <c r="BG76">
        <v>0</v>
      </c>
      <c r="BH76">
        <v>2925</v>
      </c>
      <c r="BI76">
        <v>1</v>
      </c>
      <c r="BJ76">
        <v>1</v>
      </c>
      <c r="BK76">
        <v>1</v>
      </c>
      <c r="BL76">
        <v>0</v>
      </c>
      <c r="BO76">
        <v>0</v>
      </c>
      <c r="BP76">
        <v>0</v>
      </c>
      <c r="BW76" t="str">
        <f>"13:51:06.318"</f>
        <v>13:51:06.318</v>
      </c>
      <c r="CJ76">
        <v>0</v>
      </c>
      <c r="CK76">
        <v>2</v>
      </c>
      <c r="CL76">
        <v>0</v>
      </c>
      <c r="CM76">
        <v>2</v>
      </c>
      <c r="CN76">
        <v>0</v>
      </c>
      <c r="CO76">
        <v>3</v>
      </c>
      <c r="CP76" t="s">
        <v>119</v>
      </c>
      <c r="CQ76">
        <v>209</v>
      </c>
      <c r="CR76">
        <v>3</v>
      </c>
      <c r="CW76">
        <v>7121663</v>
      </c>
      <c r="CY76">
        <v>1</v>
      </c>
      <c r="CZ76">
        <v>0</v>
      </c>
      <c r="DA76">
        <v>1</v>
      </c>
      <c r="DB76">
        <v>0</v>
      </c>
      <c r="DC76">
        <v>0</v>
      </c>
      <c r="DD76">
        <v>0</v>
      </c>
      <c r="DE76">
        <v>0</v>
      </c>
      <c r="DF76">
        <v>0</v>
      </c>
      <c r="DG76">
        <v>0</v>
      </c>
      <c r="DH76">
        <v>0</v>
      </c>
      <c r="DI76">
        <v>0</v>
      </c>
    </row>
    <row r="77" spans="1:113" x14ac:dyDescent="0.3">
      <c r="A77" t="str">
        <f>"09/28/2021 13:51:07.586"</f>
        <v>09/28/2021 13:51:07.586</v>
      </c>
      <c r="C77" t="str">
        <f t="shared" si="5"/>
        <v>FFDFD3C0</v>
      </c>
      <c r="D77" t="s">
        <v>120</v>
      </c>
      <c r="E77">
        <v>12</v>
      </c>
      <c r="F77">
        <v>1012</v>
      </c>
      <c r="G77" t="s">
        <v>114</v>
      </c>
      <c r="J77" t="s">
        <v>121</v>
      </c>
      <c r="K77">
        <v>0</v>
      </c>
      <c r="L77">
        <v>3</v>
      </c>
      <c r="M77">
        <v>0</v>
      </c>
      <c r="N77">
        <v>2</v>
      </c>
      <c r="O77">
        <v>1</v>
      </c>
      <c r="P77">
        <v>0</v>
      </c>
      <c r="Q77">
        <v>0</v>
      </c>
      <c r="S77" t="str">
        <f>"13:51:07.320"</f>
        <v>13:51:07.320</v>
      </c>
      <c r="T77" t="str">
        <f>"13:51:06.820"</f>
        <v>13:51:06.820</v>
      </c>
      <c r="U77" t="str">
        <f t="shared" si="7"/>
        <v>A92BC1</v>
      </c>
      <c r="V77">
        <v>0</v>
      </c>
      <c r="W77">
        <v>0</v>
      </c>
      <c r="X77">
        <v>2</v>
      </c>
      <c r="Z77">
        <v>0</v>
      </c>
      <c r="AA77">
        <v>9</v>
      </c>
      <c r="AB77">
        <v>3</v>
      </c>
      <c r="AC77">
        <v>0</v>
      </c>
      <c r="AD77">
        <v>10</v>
      </c>
      <c r="AE77">
        <v>0</v>
      </c>
      <c r="AF77">
        <v>3</v>
      </c>
      <c r="AG77">
        <v>2</v>
      </c>
      <c r="AH77">
        <v>0</v>
      </c>
      <c r="AI77" t="s">
        <v>187</v>
      </c>
      <c r="AJ77">
        <v>45.639181000000001</v>
      </c>
      <c r="AK77" t="s">
        <v>188</v>
      </c>
      <c r="AL77">
        <v>-89.504821000000007</v>
      </c>
      <c r="AM77">
        <v>100</v>
      </c>
      <c r="AN77">
        <v>3000</v>
      </c>
      <c r="AO77" t="s">
        <v>118</v>
      </c>
      <c r="AP77">
        <v>-43</v>
      </c>
      <c r="AQ77">
        <v>140</v>
      </c>
      <c r="AR77">
        <v>3392</v>
      </c>
      <c r="AZ77">
        <v>1200</v>
      </c>
      <c r="BA77">
        <v>1</v>
      </c>
      <c r="BB77" t="str">
        <f t="shared" si="6"/>
        <v xml:space="preserve">N690LS  </v>
      </c>
      <c r="BC77">
        <v>1</v>
      </c>
      <c r="BE77">
        <v>0</v>
      </c>
      <c r="BF77">
        <v>0</v>
      </c>
      <c r="BG77">
        <v>0</v>
      </c>
      <c r="BH77">
        <v>2975</v>
      </c>
      <c r="BI77">
        <v>1</v>
      </c>
      <c r="BJ77">
        <v>1</v>
      </c>
      <c r="BK77">
        <v>1</v>
      </c>
      <c r="BL77">
        <v>0</v>
      </c>
      <c r="BO77">
        <v>0</v>
      </c>
      <c r="BP77">
        <v>0</v>
      </c>
      <c r="BW77" t="str">
        <f>"13:51:07.327"</f>
        <v>13:51:07.327</v>
      </c>
      <c r="CJ77">
        <v>0</v>
      </c>
      <c r="CK77">
        <v>2</v>
      </c>
      <c r="CL77">
        <v>0</v>
      </c>
      <c r="CM77">
        <v>2</v>
      </c>
      <c r="CN77">
        <v>0</v>
      </c>
      <c r="CO77">
        <v>7</v>
      </c>
      <c r="CP77" t="s">
        <v>119</v>
      </c>
      <c r="CQ77">
        <v>197</v>
      </c>
      <c r="CR77">
        <v>1</v>
      </c>
      <c r="CW77">
        <v>6996544</v>
      </c>
      <c r="CY77">
        <v>1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</row>
    <row r="78" spans="1:113" x14ac:dyDescent="0.3">
      <c r="A78" t="str">
        <f>"09/28/2021 13:51:07.586"</f>
        <v>09/28/2021 13:51:07.586</v>
      </c>
      <c r="C78" t="str">
        <f t="shared" si="5"/>
        <v>FFDFD3C0</v>
      </c>
      <c r="D78" t="s">
        <v>113</v>
      </c>
      <c r="E78">
        <v>7</v>
      </c>
      <c r="H78">
        <v>170</v>
      </c>
      <c r="I78" t="s">
        <v>114</v>
      </c>
      <c r="J78" t="s">
        <v>115</v>
      </c>
      <c r="K78">
        <v>0</v>
      </c>
      <c r="L78">
        <v>3</v>
      </c>
      <c r="M78">
        <v>0</v>
      </c>
      <c r="N78">
        <v>2</v>
      </c>
      <c r="O78">
        <v>1</v>
      </c>
      <c r="P78">
        <v>0</v>
      </c>
      <c r="Q78">
        <v>0</v>
      </c>
      <c r="S78" t="str">
        <f>"13:51:07.320"</f>
        <v>13:51:07.320</v>
      </c>
      <c r="T78" t="str">
        <f>"13:51:06.820"</f>
        <v>13:51:06.820</v>
      </c>
      <c r="U78" t="str">
        <f t="shared" si="7"/>
        <v>A92BC1</v>
      </c>
      <c r="V78">
        <v>0</v>
      </c>
      <c r="W78">
        <v>0</v>
      </c>
      <c r="X78">
        <v>2</v>
      </c>
      <c r="Z78">
        <v>0</v>
      </c>
      <c r="AA78">
        <v>9</v>
      </c>
      <c r="AB78">
        <v>3</v>
      </c>
      <c r="AC78">
        <v>0</v>
      </c>
      <c r="AD78">
        <v>10</v>
      </c>
      <c r="AE78">
        <v>0</v>
      </c>
      <c r="AF78">
        <v>3</v>
      </c>
      <c r="AG78">
        <v>2</v>
      </c>
      <c r="AH78">
        <v>0</v>
      </c>
      <c r="AI78" t="s">
        <v>187</v>
      </c>
      <c r="AJ78">
        <v>45.639181000000001</v>
      </c>
      <c r="AK78" t="s">
        <v>188</v>
      </c>
      <c r="AL78">
        <v>-89.504821000000007</v>
      </c>
      <c r="AM78">
        <v>100</v>
      </c>
      <c r="AN78">
        <v>3000</v>
      </c>
      <c r="AO78" t="s">
        <v>118</v>
      </c>
      <c r="AP78">
        <v>-43</v>
      </c>
      <c r="AQ78">
        <v>140</v>
      </c>
      <c r="AR78">
        <v>3392</v>
      </c>
      <c r="AZ78">
        <v>1200</v>
      </c>
      <c r="BA78">
        <v>1</v>
      </c>
      <c r="BB78" t="str">
        <f t="shared" si="6"/>
        <v xml:space="preserve">N690LS  </v>
      </c>
      <c r="BC78">
        <v>1</v>
      </c>
      <c r="BE78">
        <v>0</v>
      </c>
      <c r="BF78">
        <v>0</v>
      </c>
      <c r="BG78">
        <v>0</v>
      </c>
      <c r="BH78">
        <v>2975</v>
      </c>
      <c r="BI78">
        <v>1</v>
      </c>
      <c r="BJ78">
        <v>1</v>
      </c>
      <c r="BK78">
        <v>1</v>
      </c>
      <c r="BL78">
        <v>0</v>
      </c>
      <c r="BO78">
        <v>0</v>
      </c>
      <c r="BP78">
        <v>0</v>
      </c>
      <c r="BW78" t="str">
        <f>"13:51:07.327"</f>
        <v>13:51:07.327</v>
      </c>
      <c r="CJ78">
        <v>0</v>
      </c>
      <c r="CK78">
        <v>2</v>
      </c>
      <c r="CL78">
        <v>0</v>
      </c>
      <c r="CM78">
        <v>2</v>
      </c>
      <c r="CN78">
        <v>0</v>
      </c>
      <c r="CO78">
        <v>7</v>
      </c>
      <c r="CP78" t="s">
        <v>119</v>
      </c>
      <c r="CQ78">
        <v>197</v>
      </c>
      <c r="CR78">
        <v>1</v>
      </c>
      <c r="CW78">
        <v>6996544</v>
      </c>
      <c r="CY78">
        <v>1</v>
      </c>
      <c r="CZ78">
        <v>0</v>
      </c>
      <c r="DA78">
        <v>1</v>
      </c>
      <c r="DB78">
        <v>0</v>
      </c>
      <c r="DC78">
        <v>0</v>
      </c>
      <c r="DD78">
        <v>0</v>
      </c>
      <c r="DE78">
        <v>0</v>
      </c>
      <c r="DF78">
        <v>0</v>
      </c>
      <c r="DG78">
        <v>0</v>
      </c>
      <c r="DH78">
        <v>0</v>
      </c>
      <c r="DI78">
        <v>0</v>
      </c>
    </row>
    <row r="79" spans="1:113" x14ac:dyDescent="0.3">
      <c r="A79" t="str">
        <f>"09/28/2021 13:51:08.681"</f>
        <v>09/28/2021 13:51:08.681</v>
      </c>
      <c r="C79" t="str">
        <f t="shared" si="5"/>
        <v>FFDFD3C0</v>
      </c>
      <c r="D79" t="s">
        <v>113</v>
      </c>
      <c r="E79">
        <v>7</v>
      </c>
      <c r="H79">
        <v>170</v>
      </c>
      <c r="I79" t="s">
        <v>114</v>
      </c>
      <c r="J79" t="s">
        <v>115</v>
      </c>
      <c r="K79">
        <v>0</v>
      </c>
      <c r="L79">
        <v>3</v>
      </c>
      <c r="M79">
        <v>0</v>
      </c>
      <c r="N79">
        <v>2</v>
      </c>
      <c r="O79">
        <v>1</v>
      </c>
      <c r="P79">
        <v>0</v>
      </c>
      <c r="Q79">
        <v>0</v>
      </c>
      <c r="S79" t="str">
        <f>"13:51:08.461"</f>
        <v>13:51:08.461</v>
      </c>
      <c r="T79" t="str">
        <f>"13:51:07.961"</f>
        <v>13:51:07.961</v>
      </c>
      <c r="U79" t="str">
        <f t="shared" si="7"/>
        <v>A92BC1</v>
      </c>
      <c r="V79">
        <v>0</v>
      </c>
      <c r="W79">
        <v>0</v>
      </c>
      <c r="X79">
        <v>2</v>
      </c>
      <c r="Z79">
        <v>0</v>
      </c>
      <c r="AA79">
        <v>9</v>
      </c>
      <c r="AB79">
        <v>3</v>
      </c>
      <c r="AC79">
        <v>0</v>
      </c>
      <c r="AD79">
        <v>10</v>
      </c>
      <c r="AE79">
        <v>0</v>
      </c>
      <c r="AF79">
        <v>3</v>
      </c>
      <c r="AG79">
        <v>2</v>
      </c>
      <c r="AH79">
        <v>0</v>
      </c>
      <c r="AI79" t="s">
        <v>189</v>
      </c>
      <c r="AJ79">
        <v>45.639868</v>
      </c>
      <c r="AK79" t="s">
        <v>190</v>
      </c>
      <c r="AL79">
        <v>-89.505056999999994</v>
      </c>
      <c r="AM79">
        <v>100</v>
      </c>
      <c r="AN79">
        <v>3000</v>
      </c>
      <c r="AO79" t="s">
        <v>118</v>
      </c>
      <c r="AP79">
        <v>-35</v>
      </c>
      <c r="AQ79">
        <v>141</v>
      </c>
      <c r="AR79">
        <v>3264</v>
      </c>
      <c r="AZ79">
        <v>1200</v>
      </c>
      <c r="BA79">
        <v>1</v>
      </c>
      <c r="BB79" t="str">
        <f t="shared" si="6"/>
        <v xml:space="preserve">N690LS  </v>
      </c>
      <c r="BC79">
        <v>1</v>
      </c>
      <c r="BE79">
        <v>0</v>
      </c>
      <c r="BF79">
        <v>0</v>
      </c>
      <c r="BG79">
        <v>0</v>
      </c>
      <c r="BH79">
        <v>3025</v>
      </c>
      <c r="BI79">
        <v>1</v>
      </c>
      <c r="BJ79">
        <v>1</v>
      </c>
      <c r="BK79">
        <v>1</v>
      </c>
      <c r="BL79">
        <v>0</v>
      </c>
      <c r="BO79">
        <v>0</v>
      </c>
      <c r="BP79">
        <v>0</v>
      </c>
      <c r="BW79" t="str">
        <f>"13:51:08.467"</f>
        <v>13:51:08.467</v>
      </c>
      <c r="CJ79">
        <v>0</v>
      </c>
      <c r="CK79">
        <v>2</v>
      </c>
      <c r="CL79">
        <v>0</v>
      </c>
      <c r="CM79">
        <v>2</v>
      </c>
      <c r="CN79">
        <v>0</v>
      </c>
      <c r="CO79">
        <v>7</v>
      </c>
      <c r="CP79" t="s">
        <v>119</v>
      </c>
      <c r="CQ79">
        <v>197</v>
      </c>
      <c r="CR79">
        <v>1</v>
      </c>
      <c r="CW79">
        <v>6997790</v>
      </c>
      <c r="CY79">
        <v>1</v>
      </c>
      <c r="CZ79">
        <v>0</v>
      </c>
      <c r="DA79">
        <v>0</v>
      </c>
      <c r="DB79">
        <v>0</v>
      </c>
      <c r="DC79">
        <v>0</v>
      </c>
      <c r="DD79">
        <v>0</v>
      </c>
      <c r="DE79">
        <v>0</v>
      </c>
      <c r="DF79">
        <v>0</v>
      </c>
      <c r="DG79">
        <v>0</v>
      </c>
      <c r="DH79">
        <v>0</v>
      </c>
      <c r="DI79">
        <v>0</v>
      </c>
    </row>
    <row r="80" spans="1:113" x14ac:dyDescent="0.3">
      <c r="A80" t="str">
        <f>"09/28/2021 13:51:08.681"</f>
        <v>09/28/2021 13:51:08.681</v>
      </c>
      <c r="C80" t="str">
        <f t="shared" si="5"/>
        <v>FFDFD3C0</v>
      </c>
      <c r="D80" t="s">
        <v>120</v>
      </c>
      <c r="E80">
        <v>12</v>
      </c>
      <c r="F80">
        <v>1012</v>
      </c>
      <c r="G80" t="s">
        <v>114</v>
      </c>
      <c r="J80" t="s">
        <v>121</v>
      </c>
      <c r="K80">
        <v>0</v>
      </c>
      <c r="L80">
        <v>3</v>
      </c>
      <c r="M80">
        <v>0</v>
      </c>
      <c r="N80">
        <v>2</v>
      </c>
      <c r="O80">
        <v>1</v>
      </c>
      <c r="P80">
        <v>0</v>
      </c>
      <c r="Q80">
        <v>0</v>
      </c>
      <c r="S80" t="str">
        <f>"13:51:08.461"</f>
        <v>13:51:08.461</v>
      </c>
      <c r="T80" t="str">
        <f>"13:51:07.961"</f>
        <v>13:51:07.961</v>
      </c>
      <c r="U80" t="str">
        <f t="shared" si="7"/>
        <v>A92BC1</v>
      </c>
      <c r="V80">
        <v>0</v>
      </c>
      <c r="W80">
        <v>0</v>
      </c>
      <c r="X80">
        <v>2</v>
      </c>
      <c r="Z80">
        <v>0</v>
      </c>
      <c r="AA80">
        <v>9</v>
      </c>
      <c r="AB80">
        <v>3</v>
      </c>
      <c r="AC80">
        <v>0</v>
      </c>
      <c r="AD80">
        <v>10</v>
      </c>
      <c r="AE80">
        <v>0</v>
      </c>
      <c r="AF80">
        <v>3</v>
      </c>
      <c r="AG80">
        <v>2</v>
      </c>
      <c r="AH80">
        <v>0</v>
      </c>
      <c r="AI80" t="s">
        <v>189</v>
      </c>
      <c r="AJ80">
        <v>45.639868</v>
      </c>
      <c r="AK80" t="s">
        <v>190</v>
      </c>
      <c r="AL80">
        <v>-89.505056999999994</v>
      </c>
      <c r="AM80">
        <v>100</v>
      </c>
      <c r="AN80">
        <v>3000</v>
      </c>
      <c r="AO80" t="s">
        <v>118</v>
      </c>
      <c r="AP80">
        <v>-35</v>
      </c>
      <c r="AQ80">
        <v>141</v>
      </c>
      <c r="AR80">
        <v>3264</v>
      </c>
      <c r="AZ80">
        <v>1200</v>
      </c>
      <c r="BA80">
        <v>1</v>
      </c>
      <c r="BB80" t="str">
        <f t="shared" si="6"/>
        <v xml:space="preserve">N690LS  </v>
      </c>
      <c r="BC80">
        <v>1</v>
      </c>
      <c r="BE80">
        <v>0</v>
      </c>
      <c r="BF80">
        <v>0</v>
      </c>
      <c r="BG80">
        <v>0</v>
      </c>
      <c r="BH80">
        <v>3025</v>
      </c>
      <c r="BI80">
        <v>1</v>
      </c>
      <c r="BJ80">
        <v>1</v>
      </c>
      <c r="BK80">
        <v>1</v>
      </c>
      <c r="BL80">
        <v>0</v>
      </c>
      <c r="BO80">
        <v>0</v>
      </c>
      <c r="BP80">
        <v>0</v>
      </c>
      <c r="BW80" t="str">
        <f>"13:51:08.467"</f>
        <v>13:51:08.467</v>
      </c>
      <c r="CJ80">
        <v>0</v>
      </c>
      <c r="CK80">
        <v>2</v>
      </c>
      <c r="CL80">
        <v>0</v>
      </c>
      <c r="CM80">
        <v>2</v>
      </c>
      <c r="CN80">
        <v>0</v>
      </c>
      <c r="CO80">
        <v>7</v>
      </c>
      <c r="CP80" t="s">
        <v>119</v>
      </c>
      <c r="CQ80">
        <v>197</v>
      </c>
      <c r="CR80">
        <v>1</v>
      </c>
      <c r="CW80">
        <v>6997790</v>
      </c>
      <c r="CY80">
        <v>1</v>
      </c>
      <c r="CZ80">
        <v>0</v>
      </c>
      <c r="DA80">
        <v>1</v>
      </c>
      <c r="DB80">
        <v>0</v>
      </c>
      <c r="DC80">
        <v>0</v>
      </c>
      <c r="DD80">
        <v>0</v>
      </c>
      <c r="DE80">
        <v>0</v>
      </c>
      <c r="DF80">
        <v>0</v>
      </c>
      <c r="DG80">
        <v>0</v>
      </c>
      <c r="DH80">
        <v>0</v>
      </c>
      <c r="DI80">
        <v>0</v>
      </c>
    </row>
    <row r="81" spans="1:113" x14ac:dyDescent="0.3">
      <c r="A81" t="str">
        <f>"09/28/2021 13:51:09.869"</f>
        <v>09/28/2021 13:51:09.869</v>
      </c>
      <c r="C81" t="str">
        <f t="shared" si="5"/>
        <v>FFDFD3C0</v>
      </c>
      <c r="D81" t="s">
        <v>113</v>
      </c>
      <c r="E81">
        <v>7</v>
      </c>
      <c r="H81">
        <v>170</v>
      </c>
      <c r="I81" t="s">
        <v>114</v>
      </c>
      <c r="J81" t="s">
        <v>115</v>
      </c>
      <c r="K81">
        <v>0</v>
      </c>
      <c r="L81">
        <v>3</v>
      </c>
      <c r="M81">
        <v>0</v>
      </c>
      <c r="N81">
        <v>2</v>
      </c>
      <c r="O81">
        <v>1</v>
      </c>
      <c r="P81">
        <v>0</v>
      </c>
      <c r="Q81">
        <v>0</v>
      </c>
      <c r="S81" t="str">
        <f>"13:51:09.602"</f>
        <v>13:51:09.602</v>
      </c>
      <c r="T81" t="str">
        <f>"13:51:09.102"</f>
        <v>13:51:09.102</v>
      </c>
      <c r="U81" t="str">
        <f t="shared" si="7"/>
        <v>A92BC1</v>
      </c>
      <c r="V81">
        <v>0</v>
      </c>
      <c r="W81">
        <v>0</v>
      </c>
      <c r="X81">
        <v>2</v>
      </c>
      <c r="Z81">
        <v>0</v>
      </c>
      <c r="AA81">
        <v>9</v>
      </c>
      <c r="AB81">
        <v>3</v>
      </c>
      <c r="AC81">
        <v>0</v>
      </c>
      <c r="AD81">
        <v>10</v>
      </c>
      <c r="AE81">
        <v>0</v>
      </c>
      <c r="AF81">
        <v>3</v>
      </c>
      <c r="AG81">
        <v>2</v>
      </c>
      <c r="AH81">
        <v>0</v>
      </c>
      <c r="AI81" t="s">
        <v>191</v>
      </c>
      <c r="AJ81">
        <v>45.640597</v>
      </c>
      <c r="AK81" t="s">
        <v>192</v>
      </c>
      <c r="AL81">
        <v>-89.505272000000005</v>
      </c>
      <c r="AM81">
        <v>100</v>
      </c>
      <c r="AN81">
        <v>3100</v>
      </c>
      <c r="AO81" t="s">
        <v>118</v>
      </c>
      <c r="AP81">
        <v>-30</v>
      </c>
      <c r="AQ81">
        <v>142</v>
      </c>
      <c r="AR81">
        <v>3072</v>
      </c>
      <c r="AZ81">
        <v>1200</v>
      </c>
      <c r="BA81">
        <v>1</v>
      </c>
      <c r="BB81" t="str">
        <f t="shared" si="6"/>
        <v xml:space="preserve">N690LS  </v>
      </c>
      <c r="BC81">
        <v>1</v>
      </c>
      <c r="BE81">
        <v>0</v>
      </c>
      <c r="BF81">
        <v>0</v>
      </c>
      <c r="BG81">
        <v>0</v>
      </c>
      <c r="BH81">
        <v>3100</v>
      </c>
      <c r="BI81">
        <v>1</v>
      </c>
      <c r="BJ81">
        <v>1</v>
      </c>
      <c r="BK81">
        <v>1</v>
      </c>
      <c r="BL81">
        <v>0</v>
      </c>
      <c r="BO81">
        <v>0</v>
      </c>
      <c r="BP81">
        <v>0</v>
      </c>
      <c r="BW81" t="str">
        <f>"13:51:09.602"</f>
        <v>13:51:09.602</v>
      </c>
      <c r="CJ81">
        <v>0</v>
      </c>
      <c r="CK81">
        <v>2</v>
      </c>
      <c r="CL81">
        <v>0</v>
      </c>
      <c r="CM81">
        <v>2</v>
      </c>
      <c r="CN81">
        <v>0</v>
      </c>
      <c r="CO81">
        <v>7</v>
      </c>
      <c r="CP81" t="s">
        <v>119</v>
      </c>
      <c r="CQ81">
        <v>197</v>
      </c>
      <c r="CR81">
        <v>1</v>
      </c>
      <c r="CW81">
        <v>6999137</v>
      </c>
      <c r="CY81">
        <v>1</v>
      </c>
      <c r="CZ81">
        <v>0</v>
      </c>
      <c r="DA81">
        <v>0</v>
      </c>
      <c r="DB81">
        <v>0</v>
      </c>
      <c r="DC81">
        <v>0</v>
      </c>
      <c r="DD81">
        <v>0</v>
      </c>
      <c r="DE81">
        <v>0</v>
      </c>
      <c r="DF81">
        <v>0</v>
      </c>
      <c r="DG81">
        <v>0</v>
      </c>
      <c r="DH81">
        <v>0</v>
      </c>
      <c r="DI81">
        <v>0</v>
      </c>
    </row>
    <row r="82" spans="1:113" x14ac:dyDescent="0.3">
      <c r="A82" t="str">
        <f>"09/28/2021 13:51:09.869"</f>
        <v>09/28/2021 13:51:09.869</v>
      </c>
      <c r="C82" t="str">
        <f t="shared" si="5"/>
        <v>FFDFD3C0</v>
      </c>
      <c r="D82" t="s">
        <v>120</v>
      </c>
      <c r="E82">
        <v>12</v>
      </c>
      <c r="F82">
        <v>1012</v>
      </c>
      <c r="G82" t="s">
        <v>114</v>
      </c>
      <c r="J82" t="s">
        <v>121</v>
      </c>
      <c r="K82">
        <v>0</v>
      </c>
      <c r="L82">
        <v>3</v>
      </c>
      <c r="M82">
        <v>0</v>
      </c>
      <c r="N82">
        <v>2</v>
      </c>
      <c r="O82">
        <v>1</v>
      </c>
      <c r="P82">
        <v>0</v>
      </c>
      <c r="Q82">
        <v>0</v>
      </c>
      <c r="S82" t="str">
        <f>"13:51:09.602"</f>
        <v>13:51:09.602</v>
      </c>
      <c r="T82" t="str">
        <f>"13:51:09.102"</f>
        <v>13:51:09.102</v>
      </c>
      <c r="U82" t="str">
        <f t="shared" si="7"/>
        <v>A92BC1</v>
      </c>
      <c r="V82">
        <v>0</v>
      </c>
      <c r="W82">
        <v>0</v>
      </c>
      <c r="X82">
        <v>2</v>
      </c>
      <c r="Z82">
        <v>0</v>
      </c>
      <c r="AA82">
        <v>9</v>
      </c>
      <c r="AB82">
        <v>3</v>
      </c>
      <c r="AC82">
        <v>0</v>
      </c>
      <c r="AD82">
        <v>10</v>
      </c>
      <c r="AE82">
        <v>0</v>
      </c>
      <c r="AF82">
        <v>3</v>
      </c>
      <c r="AG82">
        <v>2</v>
      </c>
      <c r="AH82">
        <v>0</v>
      </c>
      <c r="AI82" t="s">
        <v>191</v>
      </c>
      <c r="AJ82">
        <v>45.640597</v>
      </c>
      <c r="AK82" t="s">
        <v>192</v>
      </c>
      <c r="AL82">
        <v>-89.505272000000005</v>
      </c>
      <c r="AM82">
        <v>100</v>
      </c>
      <c r="AN82">
        <v>3100</v>
      </c>
      <c r="AO82" t="s">
        <v>118</v>
      </c>
      <c r="AP82">
        <v>-30</v>
      </c>
      <c r="AQ82">
        <v>142</v>
      </c>
      <c r="AR82">
        <v>3072</v>
      </c>
      <c r="AZ82">
        <v>1200</v>
      </c>
      <c r="BA82">
        <v>1</v>
      </c>
      <c r="BB82" t="str">
        <f t="shared" si="6"/>
        <v xml:space="preserve">N690LS  </v>
      </c>
      <c r="BC82">
        <v>1</v>
      </c>
      <c r="BE82">
        <v>0</v>
      </c>
      <c r="BF82">
        <v>0</v>
      </c>
      <c r="BG82">
        <v>0</v>
      </c>
      <c r="BH82">
        <v>3100</v>
      </c>
      <c r="BI82">
        <v>1</v>
      </c>
      <c r="BJ82">
        <v>1</v>
      </c>
      <c r="BK82">
        <v>1</v>
      </c>
      <c r="BL82">
        <v>0</v>
      </c>
      <c r="BO82">
        <v>0</v>
      </c>
      <c r="BP82">
        <v>0</v>
      </c>
      <c r="BW82" t="str">
        <f>"13:51:09.602"</f>
        <v>13:51:09.602</v>
      </c>
      <c r="CJ82">
        <v>0</v>
      </c>
      <c r="CK82">
        <v>2</v>
      </c>
      <c r="CL82">
        <v>0</v>
      </c>
      <c r="CM82">
        <v>2</v>
      </c>
      <c r="CN82">
        <v>0</v>
      </c>
      <c r="CO82">
        <v>7</v>
      </c>
      <c r="CP82" t="s">
        <v>119</v>
      </c>
      <c r="CQ82">
        <v>197</v>
      </c>
      <c r="CR82">
        <v>1</v>
      </c>
      <c r="CW82">
        <v>6999137</v>
      </c>
      <c r="CY82">
        <v>1</v>
      </c>
      <c r="CZ82">
        <v>0</v>
      </c>
      <c r="DA82">
        <v>1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</row>
    <row r="83" spans="1:113" x14ac:dyDescent="0.3">
      <c r="A83" t="str">
        <f>"09/28/2021 13:51:10.697"</f>
        <v>09/28/2021 13:51:10.697</v>
      </c>
      <c r="C83" t="str">
        <f t="shared" si="5"/>
        <v>FFDFD3C0</v>
      </c>
      <c r="D83" t="s">
        <v>113</v>
      </c>
      <c r="E83">
        <v>7</v>
      </c>
      <c r="H83">
        <v>170</v>
      </c>
      <c r="I83" t="s">
        <v>114</v>
      </c>
      <c r="J83" t="s">
        <v>115</v>
      </c>
      <c r="K83">
        <v>0</v>
      </c>
      <c r="L83">
        <v>3</v>
      </c>
      <c r="M83">
        <v>0</v>
      </c>
      <c r="N83">
        <v>2</v>
      </c>
      <c r="O83">
        <v>1</v>
      </c>
      <c r="P83">
        <v>0</v>
      </c>
      <c r="Q83">
        <v>0</v>
      </c>
      <c r="S83" t="str">
        <f>"13:51:10.484"</f>
        <v>13:51:10.484</v>
      </c>
      <c r="T83" t="str">
        <f>"13:51:10.084"</f>
        <v>13:51:10.084</v>
      </c>
      <c r="U83" t="str">
        <f t="shared" si="7"/>
        <v>A92BC1</v>
      </c>
      <c r="V83">
        <v>0</v>
      </c>
      <c r="W83">
        <v>0</v>
      </c>
      <c r="X83">
        <v>2</v>
      </c>
      <c r="Z83">
        <v>0</v>
      </c>
      <c r="AA83">
        <v>9</v>
      </c>
      <c r="AB83">
        <v>3</v>
      </c>
      <c r="AC83">
        <v>0</v>
      </c>
      <c r="AD83">
        <v>10</v>
      </c>
      <c r="AE83">
        <v>0</v>
      </c>
      <c r="AF83">
        <v>3</v>
      </c>
      <c r="AG83">
        <v>2</v>
      </c>
      <c r="AH83">
        <v>0</v>
      </c>
      <c r="AI83" t="s">
        <v>193</v>
      </c>
      <c r="AJ83">
        <v>45.641219999999997</v>
      </c>
      <c r="AK83" t="s">
        <v>194</v>
      </c>
      <c r="AL83">
        <v>-89.505401000000006</v>
      </c>
      <c r="AM83">
        <v>100</v>
      </c>
      <c r="AN83">
        <v>3100</v>
      </c>
      <c r="AO83" t="s">
        <v>118</v>
      </c>
      <c r="AP83">
        <v>-25</v>
      </c>
      <c r="AQ83">
        <v>143</v>
      </c>
      <c r="AR83">
        <v>2688</v>
      </c>
      <c r="AZ83">
        <v>1200</v>
      </c>
      <c r="BA83">
        <v>1</v>
      </c>
      <c r="BB83" t="str">
        <f t="shared" si="6"/>
        <v xml:space="preserve">N690LS  </v>
      </c>
      <c r="BC83">
        <v>1</v>
      </c>
      <c r="BE83">
        <v>0</v>
      </c>
      <c r="BF83">
        <v>0</v>
      </c>
      <c r="BG83">
        <v>0</v>
      </c>
      <c r="BH83">
        <v>3150</v>
      </c>
      <c r="BI83">
        <v>1</v>
      </c>
      <c r="BJ83">
        <v>1</v>
      </c>
      <c r="BK83">
        <v>1</v>
      </c>
      <c r="BL83">
        <v>0</v>
      </c>
      <c r="BO83">
        <v>0</v>
      </c>
      <c r="BP83">
        <v>0</v>
      </c>
      <c r="BW83" t="str">
        <f>"13:51:10.490"</f>
        <v>13:51:10.490</v>
      </c>
      <c r="CJ83">
        <v>0</v>
      </c>
      <c r="CK83">
        <v>2</v>
      </c>
      <c r="CL83">
        <v>0</v>
      </c>
      <c r="CM83">
        <v>2</v>
      </c>
      <c r="CN83">
        <v>0</v>
      </c>
      <c r="CO83">
        <v>1</v>
      </c>
      <c r="CP83" t="s">
        <v>119</v>
      </c>
      <c r="CQ83">
        <v>193</v>
      </c>
      <c r="CR83">
        <v>1</v>
      </c>
      <c r="CW83">
        <v>12243657</v>
      </c>
      <c r="CY83">
        <v>1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</row>
    <row r="84" spans="1:113" x14ac:dyDescent="0.3">
      <c r="A84" t="str">
        <f>"09/28/2021 13:51:10.697"</f>
        <v>09/28/2021 13:51:10.697</v>
      </c>
      <c r="C84" t="str">
        <f t="shared" si="5"/>
        <v>FFDFD3C0</v>
      </c>
      <c r="D84" t="s">
        <v>120</v>
      </c>
      <c r="E84">
        <v>12</v>
      </c>
      <c r="F84">
        <v>1012</v>
      </c>
      <c r="G84" t="s">
        <v>114</v>
      </c>
      <c r="J84" t="s">
        <v>121</v>
      </c>
      <c r="K84">
        <v>0</v>
      </c>
      <c r="L84">
        <v>3</v>
      </c>
      <c r="M84">
        <v>0</v>
      </c>
      <c r="N84">
        <v>2</v>
      </c>
      <c r="O84">
        <v>1</v>
      </c>
      <c r="P84">
        <v>0</v>
      </c>
      <c r="Q84">
        <v>0</v>
      </c>
      <c r="S84" t="str">
        <f>"13:51:10.484"</f>
        <v>13:51:10.484</v>
      </c>
      <c r="T84" t="str">
        <f>"13:51:10.084"</f>
        <v>13:51:10.084</v>
      </c>
      <c r="U84" t="str">
        <f t="shared" si="7"/>
        <v>A92BC1</v>
      </c>
      <c r="V84">
        <v>0</v>
      </c>
      <c r="W84">
        <v>0</v>
      </c>
      <c r="X84">
        <v>2</v>
      </c>
      <c r="Z84">
        <v>0</v>
      </c>
      <c r="AA84">
        <v>9</v>
      </c>
      <c r="AB84">
        <v>3</v>
      </c>
      <c r="AC84">
        <v>0</v>
      </c>
      <c r="AD84">
        <v>10</v>
      </c>
      <c r="AE84">
        <v>0</v>
      </c>
      <c r="AF84">
        <v>3</v>
      </c>
      <c r="AG84">
        <v>2</v>
      </c>
      <c r="AH84">
        <v>0</v>
      </c>
      <c r="AI84" t="s">
        <v>193</v>
      </c>
      <c r="AJ84">
        <v>45.641219999999997</v>
      </c>
      <c r="AK84" t="s">
        <v>194</v>
      </c>
      <c r="AL84">
        <v>-89.505401000000006</v>
      </c>
      <c r="AM84">
        <v>100</v>
      </c>
      <c r="AN84">
        <v>3100</v>
      </c>
      <c r="AO84" t="s">
        <v>118</v>
      </c>
      <c r="AP84">
        <v>-25</v>
      </c>
      <c r="AQ84">
        <v>143</v>
      </c>
      <c r="AR84">
        <v>2688</v>
      </c>
      <c r="AZ84">
        <v>1200</v>
      </c>
      <c r="BA84">
        <v>1</v>
      </c>
      <c r="BB84" t="str">
        <f t="shared" si="6"/>
        <v xml:space="preserve">N690LS  </v>
      </c>
      <c r="BC84">
        <v>1</v>
      </c>
      <c r="BE84">
        <v>0</v>
      </c>
      <c r="BF84">
        <v>0</v>
      </c>
      <c r="BG84">
        <v>0</v>
      </c>
      <c r="BH84">
        <v>3150</v>
      </c>
      <c r="BI84">
        <v>1</v>
      </c>
      <c r="BJ84">
        <v>1</v>
      </c>
      <c r="BK84">
        <v>1</v>
      </c>
      <c r="BL84">
        <v>0</v>
      </c>
      <c r="BO84">
        <v>0</v>
      </c>
      <c r="BP84">
        <v>0</v>
      </c>
      <c r="BW84" t="str">
        <f>"13:51:10.490"</f>
        <v>13:51:10.490</v>
      </c>
      <c r="CJ84">
        <v>0</v>
      </c>
      <c r="CK84">
        <v>2</v>
      </c>
      <c r="CL84">
        <v>0</v>
      </c>
      <c r="CM84">
        <v>2</v>
      </c>
      <c r="CN84">
        <v>0</v>
      </c>
      <c r="CO84">
        <v>1</v>
      </c>
      <c r="CP84" t="s">
        <v>119</v>
      </c>
      <c r="CQ84">
        <v>193</v>
      </c>
      <c r="CR84">
        <v>1</v>
      </c>
      <c r="CW84">
        <v>12243657</v>
      </c>
      <c r="CY84">
        <v>1</v>
      </c>
      <c r="CZ84">
        <v>0</v>
      </c>
      <c r="DA84">
        <v>1</v>
      </c>
      <c r="DB84">
        <v>0</v>
      </c>
      <c r="DC84">
        <v>0</v>
      </c>
      <c r="DD84">
        <v>0</v>
      </c>
      <c r="DE84">
        <v>0</v>
      </c>
      <c r="DF84">
        <v>0</v>
      </c>
      <c r="DG84">
        <v>0</v>
      </c>
      <c r="DH84">
        <v>0</v>
      </c>
      <c r="DI84">
        <v>0</v>
      </c>
    </row>
    <row r="85" spans="1:113" x14ac:dyDescent="0.3">
      <c r="A85" t="str">
        <f>"09/28/2021 13:51:11.680"</f>
        <v>09/28/2021 13:51:11.680</v>
      </c>
      <c r="C85" t="str">
        <f t="shared" si="5"/>
        <v>FFDFD3C0</v>
      </c>
      <c r="D85" t="s">
        <v>113</v>
      </c>
      <c r="E85">
        <v>7</v>
      </c>
      <c r="H85">
        <v>170</v>
      </c>
      <c r="I85" t="s">
        <v>114</v>
      </c>
      <c r="J85" t="s">
        <v>115</v>
      </c>
      <c r="K85">
        <v>0</v>
      </c>
      <c r="L85">
        <v>3</v>
      </c>
      <c r="M85">
        <v>0</v>
      </c>
      <c r="N85">
        <v>2</v>
      </c>
      <c r="O85">
        <v>1</v>
      </c>
      <c r="P85">
        <v>0</v>
      </c>
      <c r="Q85">
        <v>0</v>
      </c>
      <c r="S85" t="str">
        <f>"13:51:11.461"</f>
        <v>13:51:11.461</v>
      </c>
      <c r="T85" t="str">
        <f>"13:51:11.061"</f>
        <v>13:51:11.061</v>
      </c>
      <c r="U85" t="str">
        <f t="shared" si="7"/>
        <v>A92BC1</v>
      </c>
      <c r="V85">
        <v>0</v>
      </c>
      <c r="W85">
        <v>0</v>
      </c>
      <c r="X85">
        <v>2</v>
      </c>
      <c r="Z85">
        <v>0</v>
      </c>
      <c r="AA85">
        <v>9</v>
      </c>
      <c r="AB85">
        <v>3</v>
      </c>
      <c r="AC85">
        <v>0</v>
      </c>
      <c r="AD85">
        <v>10</v>
      </c>
      <c r="AE85">
        <v>0</v>
      </c>
      <c r="AF85">
        <v>3</v>
      </c>
      <c r="AG85">
        <v>2</v>
      </c>
      <c r="AH85">
        <v>0</v>
      </c>
      <c r="AI85" t="s">
        <v>195</v>
      </c>
      <c r="AJ85">
        <v>45.641863000000001</v>
      </c>
      <c r="AK85" t="s">
        <v>196</v>
      </c>
      <c r="AL85">
        <v>-89.505550999999997</v>
      </c>
      <c r="AM85">
        <v>100</v>
      </c>
      <c r="AN85">
        <v>3200</v>
      </c>
      <c r="AO85" t="s">
        <v>118</v>
      </c>
      <c r="AP85">
        <v>-22</v>
      </c>
      <c r="AQ85">
        <v>144</v>
      </c>
      <c r="AR85">
        <v>2432</v>
      </c>
      <c r="AZ85">
        <v>1200</v>
      </c>
      <c r="BA85">
        <v>1</v>
      </c>
      <c r="BB85" t="str">
        <f t="shared" si="6"/>
        <v xml:space="preserve">N690LS  </v>
      </c>
      <c r="BC85">
        <v>1</v>
      </c>
      <c r="BE85">
        <v>0</v>
      </c>
      <c r="BF85">
        <v>0</v>
      </c>
      <c r="BG85">
        <v>0</v>
      </c>
      <c r="BH85">
        <v>3175</v>
      </c>
      <c r="BI85">
        <v>1</v>
      </c>
      <c r="BJ85">
        <v>1</v>
      </c>
      <c r="BK85">
        <v>1</v>
      </c>
      <c r="BL85">
        <v>0</v>
      </c>
      <c r="BO85">
        <v>0</v>
      </c>
      <c r="BP85">
        <v>0</v>
      </c>
      <c r="BW85" t="str">
        <f>"13:51:11.467"</f>
        <v>13:51:11.467</v>
      </c>
      <c r="CJ85">
        <v>0</v>
      </c>
      <c r="CK85">
        <v>2</v>
      </c>
      <c r="CL85">
        <v>0</v>
      </c>
      <c r="CM85">
        <v>2</v>
      </c>
      <c r="CN85">
        <v>0</v>
      </c>
      <c r="CO85">
        <v>3</v>
      </c>
      <c r="CP85" t="s">
        <v>119</v>
      </c>
      <c r="CQ85">
        <v>209</v>
      </c>
      <c r="CR85">
        <v>3</v>
      </c>
      <c r="CW85">
        <v>7123379</v>
      </c>
      <c r="CY85">
        <v>1</v>
      </c>
      <c r="CZ85">
        <v>0</v>
      </c>
      <c r="DA85">
        <v>0</v>
      </c>
      <c r="DB85">
        <v>0</v>
      </c>
      <c r="DC85">
        <v>0</v>
      </c>
      <c r="DD85">
        <v>0</v>
      </c>
      <c r="DE85">
        <v>0</v>
      </c>
      <c r="DF85">
        <v>0</v>
      </c>
      <c r="DG85">
        <v>0</v>
      </c>
      <c r="DH85">
        <v>0</v>
      </c>
      <c r="DI85">
        <v>0</v>
      </c>
    </row>
    <row r="86" spans="1:113" x14ac:dyDescent="0.3">
      <c r="A86" t="str">
        <f>"09/28/2021 13:51:11.680"</f>
        <v>09/28/2021 13:51:11.680</v>
      </c>
      <c r="C86" t="str">
        <f t="shared" si="5"/>
        <v>FFDFD3C0</v>
      </c>
      <c r="D86" t="s">
        <v>120</v>
      </c>
      <c r="E86">
        <v>12</v>
      </c>
      <c r="F86">
        <v>1012</v>
      </c>
      <c r="G86" t="s">
        <v>114</v>
      </c>
      <c r="J86" t="s">
        <v>121</v>
      </c>
      <c r="K86">
        <v>0</v>
      </c>
      <c r="L86">
        <v>3</v>
      </c>
      <c r="M86">
        <v>0</v>
      </c>
      <c r="N86">
        <v>2</v>
      </c>
      <c r="O86">
        <v>1</v>
      </c>
      <c r="P86">
        <v>0</v>
      </c>
      <c r="Q86">
        <v>0</v>
      </c>
      <c r="S86" t="str">
        <f>"13:51:11.461"</f>
        <v>13:51:11.461</v>
      </c>
      <c r="T86" t="str">
        <f>"13:51:11.061"</f>
        <v>13:51:11.061</v>
      </c>
      <c r="U86" t="str">
        <f t="shared" si="7"/>
        <v>A92BC1</v>
      </c>
      <c r="V86">
        <v>0</v>
      </c>
      <c r="W86">
        <v>0</v>
      </c>
      <c r="X86">
        <v>2</v>
      </c>
      <c r="Z86">
        <v>0</v>
      </c>
      <c r="AA86">
        <v>9</v>
      </c>
      <c r="AB86">
        <v>3</v>
      </c>
      <c r="AC86">
        <v>0</v>
      </c>
      <c r="AD86">
        <v>10</v>
      </c>
      <c r="AE86">
        <v>0</v>
      </c>
      <c r="AF86">
        <v>3</v>
      </c>
      <c r="AG86">
        <v>2</v>
      </c>
      <c r="AH86">
        <v>0</v>
      </c>
      <c r="AI86" t="s">
        <v>195</v>
      </c>
      <c r="AJ86">
        <v>45.641863000000001</v>
      </c>
      <c r="AK86" t="s">
        <v>196</v>
      </c>
      <c r="AL86">
        <v>-89.505550999999997</v>
      </c>
      <c r="AM86">
        <v>100</v>
      </c>
      <c r="AN86">
        <v>3200</v>
      </c>
      <c r="AO86" t="s">
        <v>118</v>
      </c>
      <c r="AP86">
        <v>-22</v>
      </c>
      <c r="AQ86">
        <v>144</v>
      </c>
      <c r="AR86">
        <v>2432</v>
      </c>
      <c r="AZ86">
        <v>1200</v>
      </c>
      <c r="BA86">
        <v>1</v>
      </c>
      <c r="BB86" t="str">
        <f t="shared" si="6"/>
        <v xml:space="preserve">N690LS  </v>
      </c>
      <c r="BC86">
        <v>1</v>
      </c>
      <c r="BE86">
        <v>0</v>
      </c>
      <c r="BF86">
        <v>0</v>
      </c>
      <c r="BG86">
        <v>0</v>
      </c>
      <c r="BH86">
        <v>3175</v>
      </c>
      <c r="BI86">
        <v>1</v>
      </c>
      <c r="BJ86">
        <v>1</v>
      </c>
      <c r="BK86">
        <v>1</v>
      </c>
      <c r="BL86">
        <v>0</v>
      </c>
      <c r="BO86">
        <v>0</v>
      </c>
      <c r="BP86">
        <v>0</v>
      </c>
      <c r="BW86" t="str">
        <f>"13:51:11.467"</f>
        <v>13:51:11.467</v>
      </c>
      <c r="CJ86">
        <v>0</v>
      </c>
      <c r="CK86">
        <v>2</v>
      </c>
      <c r="CL86">
        <v>0</v>
      </c>
      <c r="CM86">
        <v>2</v>
      </c>
      <c r="CN86">
        <v>0</v>
      </c>
      <c r="CO86">
        <v>3</v>
      </c>
      <c r="CP86" t="s">
        <v>119</v>
      </c>
      <c r="CQ86">
        <v>209</v>
      </c>
      <c r="CR86">
        <v>3</v>
      </c>
      <c r="CW86">
        <v>7123379</v>
      </c>
      <c r="CY86">
        <v>1</v>
      </c>
      <c r="CZ86">
        <v>0</v>
      </c>
      <c r="DA86">
        <v>1</v>
      </c>
      <c r="DB86">
        <v>0</v>
      </c>
      <c r="DC86">
        <v>0</v>
      </c>
      <c r="DD86">
        <v>0</v>
      </c>
      <c r="DE86">
        <v>0</v>
      </c>
      <c r="DF86">
        <v>0</v>
      </c>
      <c r="DG86">
        <v>0</v>
      </c>
      <c r="DH86">
        <v>0</v>
      </c>
      <c r="DI86">
        <v>0</v>
      </c>
    </row>
    <row r="87" spans="1:113" x14ac:dyDescent="0.3">
      <c r="A87" t="str">
        <f>"09/28/2021 13:51:12.571"</f>
        <v>09/28/2021 13:51:12.571</v>
      </c>
      <c r="C87" t="str">
        <f t="shared" si="5"/>
        <v>FFDFD3C0</v>
      </c>
      <c r="D87" t="s">
        <v>113</v>
      </c>
      <c r="E87">
        <v>7</v>
      </c>
      <c r="H87">
        <v>170</v>
      </c>
      <c r="I87" t="s">
        <v>114</v>
      </c>
      <c r="J87" t="s">
        <v>115</v>
      </c>
      <c r="K87">
        <v>0</v>
      </c>
      <c r="L87">
        <v>3</v>
      </c>
      <c r="M87">
        <v>0</v>
      </c>
      <c r="N87">
        <v>2</v>
      </c>
      <c r="O87">
        <v>1</v>
      </c>
      <c r="P87">
        <v>0</v>
      </c>
      <c r="Q87">
        <v>0</v>
      </c>
      <c r="S87" t="str">
        <f>"13:51:12.344"</f>
        <v>13:51:12.344</v>
      </c>
      <c r="T87" t="str">
        <f>"13:51:11.944"</f>
        <v>13:51:11.944</v>
      </c>
      <c r="U87" t="str">
        <f t="shared" si="7"/>
        <v>A92BC1</v>
      </c>
      <c r="V87">
        <v>0</v>
      </c>
      <c r="W87">
        <v>0</v>
      </c>
      <c r="X87">
        <v>2</v>
      </c>
      <c r="Z87">
        <v>0</v>
      </c>
      <c r="AA87">
        <v>9</v>
      </c>
      <c r="AB87">
        <v>3</v>
      </c>
      <c r="AC87">
        <v>0</v>
      </c>
      <c r="AD87">
        <v>10</v>
      </c>
      <c r="AE87">
        <v>0</v>
      </c>
      <c r="AF87">
        <v>3</v>
      </c>
      <c r="AG87">
        <v>2</v>
      </c>
      <c r="AH87">
        <v>0</v>
      </c>
      <c r="AI87" t="s">
        <v>197</v>
      </c>
      <c r="AJ87">
        <v>45.642463999999997</v>
      </c>
      <c r="AK87" t="s">
        <v>198</v>
      </c>
      <c r="AL87">
        <v>-89.505679999999998</v>
      </c>
      <c r="AM87">
        <v>100</v>
      </c>
      <c r="AN87">
        <v>3200</v>
      </c>
      <c r="AO87" t="s">
        <v>118</v>
      </c>
      <c r="AP87">
        <v>-20</v>
      </c>
      <c r="AQ87">
        <v>146</v>
      </c>
      <c r="AR87">
        <v>2048</v>
      </c>
      <c r="AZ87">
        <v>1200</v>
      </c>
      <c r="BA87">
        <v>1</v>
      </c>
      <c r="BB87" t="str">
        <f t="shared" si="6"/>
        <v xml:space="preserve">N690LS  </v>
      </c>
      <c r="BC87">
        <v>1</v>
      </c>
      <c r="BE87">
        <v>0</v>
      </c>
      <c r="BF87">
        <v>0</v>
      </c>
      <c r="BG87">
        <v>0</v>
      </c>
      <c r="BH87">
        <v>3225</v>
      </c>
      <c r="BI87">
        <v>1</v>
      </c>
      <c r="BJ87">
        <v>1</v>
      </c>
      <c r="BK87">
        <v>1</v>
      </c>
      <c r="BL87">
        <v>0</v>
      </c>
      <c r="BO87">
        <v>0</v>
      </c>
      <c r="BP87">
        <v>0</v>
      </c>
      <c r="BW87" t="str">
        <f>"13:51:12.347"</f>
        <v>13:51:12.347</v>
      </c>
      <c r="CJ87">
        <v>0</v>
      </c>
      <c r="CK87">
        <v>2</v>
      </c>
      <c r="CL87">
        <v>0</v>
      </c>
      <c r="CM87">
        <v>2</v>
      </c>
      <c r="CN87">
        <v>0</v>
      </c>
      <c r="CO87">
        <v>7</v>
      </c>
      <c r="CP87" t="s">
        <v>119</v>
      </c>
      <c r="CQ87">
        <v>197</v>
      </c>
      <c r="CR87">
        <v>1</v>
      </c>
      <c r="CW87">
        <v>7002267</v>
      </c>
      <c r="CY87">
        <v>1</v>
      </c>
      <c r="CZ87">
        <v>0</v>
      </c>
      <c r="DA87">
        <v>0</v>
      </c>
      <c r="DB87">
        <v>0</v>
      </c>
      <c r="DC87">
        <v>0</v>
      </c>
      <c r="DD87">
        <v>0</v>
      </c>
      <c r="DE87">
        <v>0</v>
      </c>
      <c r="DF87">
        <v>0</v>
      </c>
      <c r="DG87">
        <v>0</v>
      </c>
      <c r="DH87">
        <v>0</v>
      </c>
      <c r="DI87">
        <v>0</v>
      </c>
    </row>
    <row r="88" spans="1:113" x14ac:dyDescent="0.3">
      <c r="A88" t="str">
        <f>"09/28/2021 13:51:12.586"</f>
        <v>09/28/2021 13:51:12.586</v>
      </c>
      <c r="C88" t="str">
        <f t="shared" si="5"/>
        <v>FFDFD3C0</v>
      </c>
      <c r="D88" t="s">
        <v>120</v>
      </c>
      <c r="E88">
        <v>12</v>
      </c>
      <c r="F88">
        <v>1012</v>
      </c>
      <c r="G88" t="s">
        <v>114</v>
      </c>
      <c r="J88" t="s">
        <v>121</v>
      </c>
      <c r="K88">
        <v>0</v>
      </c>
      <c r="L88">
        <v>3</v>
      </c>
      <c r="M88">
        <v>0</v>
      </c>
      <c r="N88">
        <v>2</v>
      </c>
      <c r="O88">
        <v>1</v>
      </c>
      <c r="P88">
        <v>0</v>
      </c>
      <c r="Q88">
        <v>0</v>
      </c>
      <c r="S88" t="str">
        <f>"13:51:12.344"</f>
        <v>13:51:12.344</v>
      </c>
      <c r="T88" t="str">
        <f>"13:51:11.944"</f>
        <v>13:51:11.944</v>
      </c>
      <c r="U88" t="str">
        <f t="shared" si="7"/>
        <v>A92BC1</v>
      </c>
      <c r="V88">
        <v>0</v>
      </c>
      <c r="W88">
        <v>0</v>
      </c>
      <c r="X88">
        <v>2</v>
      </c>
      <c r="Z88">
        <v>0</v>
      </c>
      <c r="AA88">
        <v>9</v>
      </c>
      <c r="AB88">
        <v>3</v>
      </c>
      <c r="AC88">
        <v>0</v>
      </c>
      <c r="AD88">
        <v>10</v>
      </c>
      <c r="AE88">
        <v>0</v>
      </c>
      <c r="AF88">
        <v>3</v>
      </c>
      <c r="AG88">
        <v>2</v>
      </c>
      <c r="AH88">
        <v>0</v>
      </c>
      <c r="AI88" t="s">
        <v>197</v>
      </c>
      <c r="AJ88">
        <v>45.642463999999997</v>
      </c>
      <c r="AK88" t="s">
        <v>198</v>
      </c>
      <c r="AL88">
        <v>-89.505679999999998</v>
      </c>
      <c r="AM88">
        <v>100</v>
      </c>
      <c r="AN88">
        <v>3200</v>
      </c>
      <c r="AO88" t="s">
        <v>118</v>
      </c>
      <c r="AP88">
        <v>-20</v>
      </c>
      <c r="AQ88">
        <v>146</v>
      </c>
      <c r="AR88">
        <v>2048</v>
      </c>
      <c r="AZ88">
        <v>1200</v>
      </c>
      <c r="BA88">
        <v>1</v>
      </c>
      <c r="BB88" t="str">
        <f t="shared" si="6"/>
        <v xml:space="preserve">N690LS  </v>
      </c>
      <c r="BC88">
        <v>1</v>
      </c>
      <c r="BE88">
        <v>0</v>
      </c>
      <c r="BF88">
        <v>0</v>
      </c>
      <c r="BG88">
        <v>0</v>
      </c>
      <c r="BH88">
        <v>3225</v>
      </c>
      <c r="BI88">
        <v>1</v>
      </c>
      <c r="BJ88">
        <v>1</v>
      </c>
      <c r="BK88">
        <v>1</v>
      </c>
      <c r="BL88">
        <v>0</v>
      </c>
      <c r="BO88">
        <v>0</v>
      </c>
      <c r="BP88">
        <v>0</v>
      </c>
      <c r="BW88" t="str">
        <f>"13:51:12.347"</f>
        <v>13:51:12.347</v>
      </c>
      <c r="CJ88">
        <v>0</v>
      </c>
      <c r="CK88">
        <v>2</v>
      </c>
      <c r="CL88">
        <v>0</v>
      </c>
      <c r="CM88">
        <v>2</v>
      </c>
      <c r="CN88">
        <v>0</v>
      </c>
      <c r="CO88">
        <v>7</v>
      </c>
      <c r="CP88" t="s">
        <v>119</v>
      </c>
      <c r="CQ88">
        <v>197</v>
      </c>
      <c r="CR88">
        <v>1</v>
      </c>
      <c r="CW88">
        <v>7002267</v>
      </c>
      <c r="CY88">
        <v>1</v>
      </c>
      <c r="CZ88">
        <v>0</v>
      </c>
      <c r="DA88">
        <v>1</v>
      </c>
      <c r="DB88">
        <v>0</v>
      </c>
      <c r="DC88">
        <v>0</v>
      </c>
      <c r="DD88">
        <v>0</v>
      </c>
      <c r="DE88">
        <v>0</v>
      </c>
      <c r="DF88">
        <v>0</v>
      </c>
      <c r="DG88">
        <v>0</v>
      </c>
      <c r="DH88">
        <v>0</v>
      </c>
      <c r="DI88">
        <v>0</v>
      </c>
    </row>
    <row r="89" spans="1:113" x14ac:dyDescent="0.3">
      <c r="A89" t="str">
        <f>"09/28/2021 13:51:13.556"</f>
        <v>09/28/2021 13:51:13.556</v>
      </c>
      <c r="C89" t="str">
        <f t="shared" si="5"/>
        <v>FFDFD3C0</v>
      </c>
      <c r="D89" t="s">
        <v>113</v>
      </c>
      <c r="E89">
        <v>7</v>
      </c>
      <c r="H89">
        <v>170</v>
      </c>
      <c r="I89" t="s">
        <v>114</v>
      </c>
      <c r="J89" t="s">
        <v>115</v>
      </c>
      <c r="K89">
        <v>0</v>
      </c>
      <c r="L89">
        <v>3</v>
      </c>
      <c r="M89">
        <v>0</v>
      </c>
      <c r="N89">
        <v>2</v>
      </c>
      <c r="O89">
        <v>1</v>
      </c>
      <c r="P89">
        <v>0</v>
      </c>
      <c r="Q89">
        <v>0</v>
      </c>
      <c r="S89" t="str">
        <f>"13:51:13.367"</f>
        <v>13:51:13.367</v>
      </c>
      <c r="T89" t="str">
        <f>"13:51:12.867"</f>
        <v>13:51:12.867</v>
      </c>
      <c r="U89" t="str">
        <f t="shared" si="7"/>
        <v>A92BC1</v>
      </c>
      <c r="V89">
        <v>0</v>
      </c>
      <c r="W89">
        <v>0</v>
      </c>
      <c r="X89">
        <v>2</v>
      </c>
      <c r="Z89">
        <v>0</v>
      </c>
      <c r="AA89">
        <v>9</v>
      </c>
      <c r="AB89">
        <v>3</v>
      </c>
      <c r="AC89">
        <v>0</v>
      </c>
      <c r="AD89">
        <v>10</v>
      </c>
      <c r="AE89">
        <v>0</v>
      </c>
      <c r="AF89">
        <v>3</v>
      </c>
      <c r="AG89">
        <v>2</v>
      </c>
      <c r="AH89">
        <v>0</v>
      </c>
      <c r="AI89" t="s">
        <v>199</v>
      </c>
      <c r="AJ89">
        <v>45.643151000000003</v>
      </c>
      <c r="AK89" t="s">
        <v>200</v>
      </c>
      <c r="AL89">
        <v>-89.505744000000007</v>
      </c>
      <c r="AM89">
        <v>100</v>
      </c>
      <c r="AN89">
        <v>3200</v>
      </c>
      <c r="AO89" t="s">
        <v>118</v>
      </c>
      <c r="AP89">
        <v>-18</v>
      </c>
      <c r="AQ89">
        <v>147</v>
      </c>
      <c r="AR89">
        <v>1792</v>
      </c>
      <c r="AZ89">
        <v>1200</v>
      </c>
      <c r="BA89">
        <v>1</v>
      </c>
      <c r="BB89" t="str">
        <f t="shared" si="6"/>
        <v xml:space="preserve">N690LS  </v>
      </c>
      <c r="BC89">
        <v>1</v>
      </c>
      <c r="BE89">
        <v>0</v>
      </c>
      <c r="BF89">
        <v>0</v>
      </c>
      <c r="BG89">
        <v>0</v>
      </c>
      <c r="BH89">
        <v>3250</v>
      </c>
      <c r="BI89">
        <v>1</v>
      </c>
      <c r="BJ89">
        <v>1</v>
      </c>
      <c r="BK89">
        <v>1</v>
      </c>
      <c r="BL89">
        <v>0</v>
      </c>
      <c r="BO89">
        <v>0</v>
      </c>
      <c r="BP89">
        <v>0</v>
      </c>
      <c r="BW89" t="str">
        <f>"13:51:13.368"</f>
        <v>13:51:13.368</v>
      </c>
      <c r="CJ89">
        <v>0</v>
      </c>
      <c r="CK89">
        <v>2</v>
      </c>
      <c r="CL89">
        <v>0</v>
      </c>
      <c r="CM89">
        <v>2</v>
      </c>
      <c r="CN89">
        <v>0</v>
      </c>
      <c r="CO89">
        <v>4</v>
      </c>
      <c r="CP89" t="s">
        <v>119</v>
      </c>
      <c r="CQ89">
        <v>209</v>
      </c>
      <c r="CR89">
        <v>3</v>
      </c>
      <c r="CW89">
        <v>7123996</v>
      </c>
      <c r="CY89">
        <v>1</v>
      </c>
      <c r="CZ89">
        <v>0</v>
      </c>
      <c r="DA89">
        <v>0</v>
      </c>
      <c r="DB89">
        <v>0</v>
      </c>
      <c r="DC89">
        <v>0</v>
      </c>
      <c r="DD89">
        <v>0</v>
      </c>
      <c r="DE89">
        <v>0</v>
      </c>
      <c r="DF89">
        <v>0</v>
      </c>
      <c r="DG89">
        <v>0</v>
      </c>
      <c r="DH89">
        <v>0</v>
      </c>
      <c r="DI89">
        <v>0</v>
      </c>
    </row>
    <row r="90" spans="1:113" x14ac:dyDescent="0.3">
      <c r="A90" t="str">
        <f>"09/28/2021 13:51:13.619"</f>
        <v>09/28/2021 13:51:13.619</v>
      </c>
      <c r="C90" t="str">
        <f t="shared" si="5"/>
        <v>FFDFD3C0</v>
      </c>
      <c r="D90" t="s">
        <v>120</v>
      </c>
      <c r="E90">
        <v>12</v>
      </c>
      <c r="F90">
        <v>1012</v>
      </c>
      <c r="G90" t="s">
        <v>114</v>
      </c>
      <c r="J90" t="s">
        <v>121</v>
      </c>
      <c r="K90">
        <v>0</v>
      </c>
      <c r="L90">
        <v>3</v>
      </c>
      <c r="M90">
        <v>0</v>
      </c>
      <c r="N90">
        <v>2</v>
      </c>
      <c r="O90">
        <v>1</v>
      </c>
      <c r="P90">
        <v>0</v>
      </c>
      <c r="Q90">
        <v>0</v>
      </c>
      <c r="S90" t="str">
        <f>"13:51:13.367"</f>
        <v>13:51:13.367</v>
      </c>
      <c r="T90" t="str">
        <f>"13:51:12.867"</f>
        <v>13:51:12.867</v>
      </c>
      <c r="U90" t="str">
        <f t="shared" si="7"/>
        <v>A92BC1</v>
      </c>
      <c r="V90">
        <v>0</v>
      </c>
      <c r="W90">
        <v>0</v>
      </c>
      <c r="X90">
        <v>2</v>
      </c>
      <c r="Z90">
        <v>0</v>
      </c>
      <c r="AA90">
        <v>9</v>
      </c>
      <c r="AB90">
        <v>3</v>
      </c>
      <c r="AC90">
        <v>0</v>
      </c>
      <c r="AD90">
        <v>10</v>
      </c>
      <c r="AE90">
        <v>0</v>
      </c>
      <c r="AF90">
        <v>3</v>
      </c>
      <c r="AG90">
        <v>2</v>
      </c>
      <c r="AH90">
        <v>0</v>
      </c>
      <c r="AI90" t="s">
        <v>199</v>
      </c>
      <c r="AJ90">
        <v>45.643151000000003</v>
      </c>
      <c r="AK90" t="s">
        <v>200</v>
      </c>
      <c r="AL90">
        <v>-89.505744000000007</v>
      </c>
      <c r="AM90">
        <v>100</v>
      </c>
      <c r="AN90">
        <v>3200</v>
      </c>
      <c r="AO90" t="s">
        <v>118</v>
      </c>
      <c r="AP90">
        <v>-18</v>
      </c>
      <c r="AQ90">
        <v>147</v>
      </c>
      <c r="AR90">
        <v>1792</v>
      </c>
      <c r="AZ90">
        <v>1200</v>
      </c>
      <c r="BA90">
        <v>1</v>
      </c>
      <c r="BB90" t="str">
        <f t="shared" si="6"/>
        <v xml:space="preserve">N690LS  </v>
      </c>
      <c r="BC90">
        <v>1</v>
      </c>
      <c r="BE90">
        <v>0</v>
      </c>
      <c r="BF90">
        <v>0</v>
      </c>
      <c r="BG90">
        <v>0</v>
      </c>
      <c r="BH90">
        <v>3250</v>
      </c>
      <c r="BI90">
        <v>1</v>
      </c>
      <c r="BJ90">
        <v>1</v>
      </c>
      <c r="BK90">
        <v>1</v>
      </c>
      <c r="BL90">
        <v>0</v>
      </c>
      <c r="BO90">
        <v>0</v>
      </c>
      <c r="BP90">
        <v>0</v>
      </c>
      <c r="BW90" t="str">
        <f>"13:51:13.368"</f>
        <v>13:51:13.368</v>
      </c>
      <c r="CJ90">
        <v>0</v>
      </c>
      <c r="CK90">
        <v>2</v>
      </c>
      <c r="CL90">
        <v>0</v>
      </c>
      <c r="CM90">
        <v>2</v>
      </c>
      <c r="CN90">
        <v>0</v>
      </c>
      <c r="CO90">
        <v>4</v>
      </c>
      <c r="CP90" t="s">
        <v>119</v>
      </c>
      <c r="CQ90">
        <v>209</v>
      </c>
      <c r="CR90">
        <v>3</v>
      </c>
      <c r="CW90">
        <v>7123996</v>
      </c>
      <c r="CY90">
        <v>1</v>
      </c>
      <c r="CZ90">
        <v>0</v>
      </c>
      <c r="DA90">
        <v>1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</row>
    <row r="91" spans="1:113" x14ac:dyDescent="0.3">
      <c r="A91" t="str">
        <f>"09/28/2021 13:51:15.134"</f>
        <v>09/28/2021 13:51:15.134</v>
      </c>
      <c r="C91" t="str">
        <f t="shared" si="5"/>
        <v>FFDFD3C0</v>
      </c>
      <c r="D91" t="s">
        <v>120</v>
      </c>
      <c r="E91">
        <v>12</v>
      </c>
      <c r="F91">
        <v>1012</v>
      </c>
      <c r="G91" t="s">
        <v>114</v>
      </c>
      <c r="J91" t="s">
        <v>121</v>
      </c>
      <c r="K91">
        <v>0</v>
      </c>
      <c r="L91">
        <v>3</v>
      </c>
      <c r="M91">
        <v>0</v>
      </c>
      <c r="N91">
        <v>2</v>
      </c>
      <c r="O91">
        <v>1</v>
      </c>
      <c r="P91">
        <v>0</v>
      </c>
      <c r="Q91">
        <v>0</v>
      </c>
      <c r="S91" t="str">
        <f>"13:51:14.906"</f>
        <v>13:51:14.906</v>
      </c>
      <c r="T91" t="str">
        <f>"13:51:14.406"</f>
        <v>13:51:14.406</v>
      </c>
      <c r="U91" t="str">
        <f t="shared" si="7"/>
        <v>A92BC1</v>
      </c>
      <c r="V91">
        <v>0</v>
      </c>
      <c r="W91">
        <v>0</v>
      </c>
      <c r="X91">
        <v>2</v>
      </c>
      <c r="Z91">
        <v>0</v>
      </c>
      <c r="AA91">
        <v>9</v>
      </c>
      <c r="AB91">
        <v>3</v>
      </c>
      <c r="AC91">
        <v>0</v>
      </c>
      <c r="AD91">
        <v>10</v>
      </c>
      <c r="AE91">
        <v>0</v>
      </c>
      <c r="AF91">
        <v>3</v>
      </c>
      <c r="AG91">
        <v>2</v>
      </c>
      <c r="AH91">
        <v>0</v>
      </c>
      <c r="AI91" t="s">
        <v>201</v>
      </c>
      <c r="AJ91">
        <v>45.644181000000003</v>
      </c>
      <c r="AK91" t="s">
        <v>202</v>
      </c>
      <c r="AL91">
        <v>-89.505959000000004</v>
      </c>
      <c r="AM91">
        <v>100</v>
      </c>
      <c r="AN91">
        <v>3300</v>
      </c>
      <c r="AO91" t="s">
        <v>118</v>
      </c>
      <c r="AP91">
        <v>-16</v>
      </c>
      <c r="AQ91">
        <v>150</v>
      </c>
      <c r="AR91">
        <v>1408</v>
      </c>
      <c r="AZ91">
        <v>1200</v>
      </c>
      <c r="BA91">
        <v>1</v>
      </c>
      <c r="BB91" t="str">
        <f t="shared" si="6"/>
        <v xml:space="preserve">N690LS  </v>
      </c>
      <c r="BC91">
        <v>1</v>
      </c>
      <c r="BE91">
        <v>0</v>
      </c>
      <c r="BF91">
        <v>0</v>
      </c>
      <c r="BG91">
        <v>0</v>
      </c>
      <c r="BH91">
        <v>3275</v>
      </c>
      <c r="BI91">
        <v>1</v>
      </c>
      <c r="BJ91">
        <v>1</v>
      </c>
      <c r="BK91">
        <v>1</v>
      </c>
      <c r="BL91">
        <v>0</v>
      </c>
      <c r="BO91">
        <v>0</v>
      </c>
      <c r="BP91">
        <v>0</v>
      </c>
      <c r="BW91" t="str">
        <f>"13:51:14.908"</f>
        <v>13:51:14.908</v>
      </c>
      <c r="CJ91">
        <v>0</v>
      </c>
      <c r="CK91">
        <v>2</v>
      </c>
      <c r="CL91">
        <v>0</v>
      </c>
      <c r="CM91">
        <v>2</v>
      </c>
      <c r="CN91">
        <v>0</v>
      </c>
      <c r="CO91">
        <v>3</v>
      </c>
      <c r="CP91" t="s">
        <v>119</v>
      </c>
      <c r="CQ91">
        <v>209</v>
      </c>
      <c r="CR91">
        <v>3</v>
      </c>
      <c r="CW91">
        <v>7124509</v>
      </c>
      <c r="CY91">
        <v>1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</row>
    <row r="92" spans="1:113" x14ac:dyDescent="0.3">
      <c r="A92" t="str">
        <f>"09/28/2021 13:51:15.134"</f>
        <v>09/28/2021 13:51:15.134</v>
      </c>
      <c r="C92" t="str">
        <f t="shared" si="5"/>
        <v>FFDFD3C0</v>
      </c>
      <c r="D92" t="s">
        <v>113</v>
      </c>
      <c r="E92">
        <v>7</v>
      </c>
      <c r="H92">
        <v>170</v>
      </c>
      <c r="I92" t="s">
        <v>114</v>
      </c>
      <c r="J92" t="s">
        <v>115</v>
      </c>
      <c r="K92">
        <v>0</v>
      </c>
      <c r="L92">
        <v>3</v>
      </c>
      <c r="M92">
        <v>0</v>
      </c>
      <c r="N92">
        <v>2</v>
      </c>
      <c r="O92">
        <v>1</v>
      </c>
      <c r="P92">
        <v>0</v>
      </c>
      <c r="Q92">
        <v>0</v>
      </c>
      <c r="S92" t="str">
        <f>"13:51:14.906"</f>
        <v>13:51:14.906</v>
      </c>
      <c r="T92" t="str">
        <f>"13:51:14.406"</f>
        <v>13:51:14.406</v>
      </c>
      <c r="U92" t="str">
        <f t="shared" si="7"/>
        <v>A92BC1</v>
      </c>
      <c r="V92">
        <v>0</v>
      </c>
      <c r="W92">
        <v>0</v>
      </c>
      <c r="X92">
        <v>2</v>
      </c>
      <c r="Z92">
        <v>0</v>
      </c>
      <c r="AA92">
        <v>9</v>
      </c>
      <c r="AB92">
        <v>3</v>
      </c>
      <c r="AC92">
        <v>0</v>
      </c>
      <c r="AD92">
        <v>10</v>
      </c>
      <c r="AE92">
        <v>0</v>
      </c>
      <c r="AF92">
        <v>3</v>
      </c>
      <c r="AG92">
        <v>2</v>
      </c>
      <c r="AH92">
        <v>0</v>
      </c>
      <c r="AI92" t="s">
        <v>201</v>
      </c>
      <c r="AJ92">
        <v>45.644181000000003</v>
      </c>
      <c r="AK92" t="s">
        <v>202</v>
      </c>
      <c r="AL92">
        <v>-89.505959000000004</v>
      </c>
      <c r="AM92">
        <v>100</v>
      </c>
      <c r="AN92">
        <v>3300</v>
      </c>
      <c r="AO92" t="s">
        <v>118</v>
      </c>
      <c r="AP92">
        <v>-16</v>
      </c>
      <c r="AQ92">
        <v>150</v>
      </c>
      <c r="AR92">
        <v>1408</v>
      </c>
      <c r="AZ92">
        <v>1200</v>
      </c>
      <c r="BA92">
        <v>1</v>
      </c>
      <c r="BB92" t="str">
        <f t="shared" si="6"/>
        <v xml:space="preserve">N690LS  </v>
      </c>
      <c r="BC92">
        <v>1</v>
      </c>
      <c r="BE92">
        <v>0</v>
      </c>
      <c r="BF92">
        <v>0</v>
      </c>
      <c r="BG92">
        <v>0</v>
      </c>
      <c r="BH92">
        <v>3275</v>
      </c>
      <c r="BI92">
        <v>1</v>
      </c>
      <c r="BJ92">
        <v>1</v>
      </c>
      <c r="BK92">
        <v>1</v>
      </c>
      <c r="BL92">
        <v>0</v>
      </c>
      <c r="BO92">
        <v>0</v>
      </c>
      <c r="BP92">
        <v>0</v>
      </c>
      <c r="BW92" t="str">
        <f>"13:51:14.908"</f>
        <v>13:51:14.908</v>
      </c>
      <c r="CJ92">
        <v>0</v>
      </c>
      <c r="CK92">
        <v>2</v>
      </c>
      <c r="CL92">
        <v>0</v>
      </c>
      <c r="CM92">
        <v>2</v>
      </c>
      <c r="CN92">
        <v>0</v>
      </c>
      <c r="CO92">
        <v>3</v>
      </c>
      <c r="CP92" t="s">
        <v>119</v>
      </c>
      <c r="CQ92">
        <v>209</v>
      </c>
      <c r="CR92">
        <v>3</v>
      </c>
      <c r="CW92">
        <v>7124509</v>
      </c>
      <c r="CY92">
        <v>1</v>
      </c>
      <c r="CZ92">
        <v>0</v>
      </c>
      <c r="DA92">
        <v>1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</row>
    <row r="93" spans="1:113" x14ac:dyDescent="0.3">
      <c r="A93" t="str">
        <f>"09/28/2021 13:51:16.197"</f>
        <v>09/28/2021 13:51:16.197</v>
      </c>
      <c r="C93" t="str">
        <f t="shared" si="5"/>
        <v>FFDFD3C0</v>
      </c>
      <c r="D93" t="s">
        <v>113</v>
      </c>
      <c r="E93">
        <v>7</v>
      </c>
      <c r="H93">
        <v>170</v>
      </c>
      <c r="I93" t="s">
        <v>114</v>
      </c>
      <c r="J93" t="s">
        <v>115</v>
      </c>
      <c r="K93">
        <v>0</v>
      </c>
      <c r="L93">
        <v>3</v>
      </c>
      <c r="M93">
        <v>0</v>
      </c>
      <c r="N93">
        <v>2</v>
      </c>
      <c r="O93">
        <v>1</v>
      </c>
      <c r="P93">
        <v>0</v>
      </c>
      <c r="Q93">
        <v>0</v>
      </c>
      <c r="S93" t="str">
        <f>"13:51:15.891"</f>
        <v>13:51:15.891</v>
      </c>
      <c r="T93" t="str">
        <f>"13:51:15.391"</f>
        <v>13:51:15.391</v>
      </c>
      <c r="U93" t="str">
        <f t="shared" si="7"/>
        <v>A92BC1</v>
      </c>
      <c r="V93">
        <v>0</v>
      </c>
      <c r="W93">
        <v>0</v>
      </c>
      <c r="X93">
        <v>2</v>
      </c>
      <c r="Z93">
        <v>0</v>
      </c>
      <c r="AA93">
        <v>9</v>
      </c>
      <c r="AB93">
        <v>3</v>
      </c>
      <c r="AC93">
        <v>0</v>
      </c>
      <c r="AD93">
        <v>10</v>
      </c>
      <c r="AE93">
        <v>0</v>
      </c>
      <c r="AF93">
        <v>3</v>
      </c>
      <c r="AG93">
        <v>2</v>
      </c>
      <c r="AH93">
        <v>0</v>
      </c>
      <c r="AI93" t="s">
        <v>203</v>
      </c>
      <c r="AJ93">
        <v>45.644888999999999</v>
      </c>
      <c r="AK93" t="s">
        <v>204</v>
      </c>
      <c r="AL93">
        <v>-89.506022999999999</v>
      </c>
      <c r="AM93">
        <v>100</v>
      </c>
      <c r="AN93">
        <v>3300</v>
      </c>
      <c r="AO93" t="s">
        <v>118</v>
      </c>
      <c r="AP93">
        <v>-15</v>
      </c>
      <c r="AQ93">
        <v>151</v>
      </c>
      <c r="AR93">
        <v>1408</v>
      </c>
      <c r="AZ93">
        <v>1200</v>
      </c>
      <c r="BA93">
        <v>1</v>
      </c>
      <c r="BB93" t="str">
        <f t="shared" si="6"/>
        <v xml:space="preserve">N690LS  </v>
      </c>
      <c r="BC93">
        <v>1</v>
      </c>
      <c r="BE93">
        <v>0</v>
      </c>
      <c r="BF93">
        <v>0</v>
      </c>
      <c r="BG93">
        <v>0</v>
      </c>
      <c r="BH93">
        <v>3300</v>
      </c>
      <c r="BI93">
        <v>1</v>
      </c>
      <c r="BJ93">
        <v>1</v>
      </c>
      <c r="BK93">
        <v>1</v>
      </c>
      <c r="BL93">
        <v>0</v>
      </c>
      <c r="BO93">
        <v>0</v>
      </c>
      <c r="BP93">
        <v>0</v>
      </c>
      <c r="BW93" t="str">
        <f>"13:51:15.891"</f>
        <v>13:51:15.891</v>
      </c>
      <c r="CJ93">
        <v>0</v>
      </c>
      <c r="CK93">
        <v>2</v>
      </c>
      <c r="CL93">
        <v>0</v>
      </c>
      <c r="CM93">
        <v>2</v>
      </c>
      <c r="CN93">
        <v>0</v>
      </c>
      <c r="CO93">
        <v>3</v>
      </c>
      <c r="CP93" t="s">
        <v>119</v>
      </c>
      <c r="CQ93">
        <v>209</v>
      </c>
      <c r="CR93">
        <v>3</v>
      </c>
      <c r="CW93">
        <v>7124817</v>
      </c>
      <c r="CY93">
        <v>1</v>
      </c>
      <c r="CZ93">
        <v>0</v>
      </c>
      <c r="DA93">
        <v>0</v>
      </c>
      <c r="DB93">
        <v>0</v>
      </c>
      <c r="DC93">
        <v>0</v>
      </c>
      <c r="DD93">
        <v>0</v>
      </c>
      <c r="DE93">
        <v>0</v>
      </c>
      <c r="DF93">
        <v>0</v>
      </c>
      <c r="DG93">
        <v>0</v>
      </c>
      <c r="DH93">
        <v>0</v>
      </c>
      <c r="DI93">
        <v>0</v>
      </c>
    </row>
    <row r="94" spans="1:113" x14ac:dyDescent="0.3">
      <c r="A94" t="str">
        <f>"09/28/2021 13:51:16.197"</f>
        <v>09/28/2021 13:51:16.197</v>
      </c>
      <c r="C94" t="str">
        <f t="shared" si="5"/>
        <v>FFDFD3C0</v>
      </c>
      <c r="D94" t="s">
        <v>120</v>
      </c>
      <c r="E94">
        <v>12</v>
      </c>
      <c r="F94">
        <v>1012</v>
      </c>
      <c r="G94" t="s">
        <v>114</v>
      </c>
      <c r="J94" t="s">
        <v>121</v>
      </c>
      <c r="K94">
        <v>0</v>
      </c>
      <c r="L94">
        <v>3</v>
      </c>
      <c r="M94">
        <v>0</v>
      </c>
      <c r="N94">
        <v>2</v>
      </c>
      <c r="O94">
        <v>1</v>
      </c>
      <c r="P94">
        <v>0</v>
      </c>
      <c r="Q94">
        <v>0</v>
      </c>
      <c r="S94" t="str">
        <f>"13:51:15.891"</f>
        <v>13:51:15.891</v>
      </c>
      <c r="T94" t="str">
        <f>"13:51:15.391"</f>
        <v>13:51:15.391</v>
      </c>
      <c r="U94" t="str">
        <f t="shared" si="7"/>
        <v>A92BC1</v>
      </c>
      <c r="V94">
        <v>0</v>
      </c>
      <c r="W94">
        <v>0</v>
      </c>
      <c r="X94">
        <v>2</v>
      </c>
      <c r="Z94">
        <v>0</v>
      </c>
      <c r="AA94">
        <v>9</v>
      </c>
      <c r="AB94">
        <v>3</v>
      </c>
      <c r="AC94">
        <v>0</v>
      </c>
      <c r="AD94">
        <v>10</v>
      </c>
      <c r="AE94">
        <v>0</v>
      </c>
      <c r="AF94">
        <v>3</v>
      </c>
      <c r="AG94">
        <v>2</v>
      </c>
      <c r="AH94">
        <v>0</v>
      </c>
      <c r="AI94" t="s">
        <v>203</v>
      </c>
      <c r="AJ94">
        <v>45.644888999999999</v>
      </c>
      <c r="AK94" t="s">
        <v>204</v>
      </c>
      <c r="AL94">
        <v>-89.506022999999999</v>
      </c>
      <c r="AM94">
        <v>100</v>
      </c>
      <c r="AN94">
        <v>3300</v>
      </c>
      <c r="AO94" t="s">
        <v>118</v>
      </c>
      <c r="AP94">
        <v>-15</v>
      </c>
      <c r="AQ94">
        <v>151</v>
      </c>
      <c r="AR94">
        <v>1408</v>
      </c>
      <c r="AZ94">
        <v>1200</v>
      </c>
      <c r="BA94">
        <v>1</v>
      </c>
      <c r="BB94" t="str">
        <f t="shared" si="6"/>
        <v xml:space="preserve">N690LS  </v>
      </c>
      <c r="BC94">
        <v>1</v>
      </c>
      <c r="BE94">
        <v>0</v>
      </c>
      <c r="BF94">
        <v>0</v>
      </c>
      <c r="BG94">
        <v>0</v>
      </c>
      <c r="BH94">
        <v>3300</v>
      </c>
      <c r="BI94">
        <v>1</v>
      </c>
      <c r="BJ94">
        <v>1</v>
      </c>
      <c r="BK94">
        <v>1</v>
      </c>
      <c r="BL94">
        <v>0</v>
      </c>
      <c r="BO94">
        <v>0</v>
      </c>
      <c r="BP94">
        <v>0</v>
      </c>
      <c r="BW94" t="str">
        <f>"13:51:15.891"</f>
        <v>13:51:15.891</v>
      </c>
      <c r="CJ94">
        <v>0</v>
      </c>
      <c r="CK94">
        <v>2</v>
      </c>
      <c r="CL94">
        <v>0</v>
      </c>
      <c r="CM94">
        <v>2</v>
      </c>
      <c r="CN94">
        <v>0</v>
      </c>
      <c r="CO94">
        <v>3</v>
      </c>
      <c r="CP94" t="s">
        <v>119</v>
      </c>
      <c r="CQ94">
        <v>209</v>
      </c>
      <c r="CR94">
        <v>3</v>
      </c>
      <c r="CW94">
        <v>7124817</v>
      </c>
      <c r="CY94">
        <v>1</v>
      </c>
      <c r="CZ94">
        <v>0</v>
      </c>
      <c r="DA94">
        <v>1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</row>
    <row r="95" spans="1:113" x14ac:dyDescent="0.3">
      <c r="A95" t="str">
        <f>"09/28/2021 13:51:17.209"</f>
        <v>09/28/2021 13:51:17.209</v>
      </c>
      <c r="C95" t="str">
        <f t="shared" si="5"/>
        <v>FFDFD3C0</v>
      </c>
      <c r="D95" t="s">
        <v>113</v>
      </c>
      <c r="E95">
        <v>7</v>
      </c>
      <c r="H95">
        <v>170</v>
      </c>
      <c r="I95" t="s">
        <v>114</v>
      </c>
      <c r="J95" t="s">
        <v>115</v>
      </c>
      <c r="K95">
        <v>0</v>
      </c>
      <c r="L95">
        <v>3</v>
      </c>
      <c r="M95">
        <v>0</v>
      </c>
      <c r="N95">
        <v>2</v>
      </c>
      <c r="O95">
        <v>1</v>
      </c>
      <c r="P95">
        <v>0</v>
      </c>
      <c r="Q95">
        <v>0</v>
      </c>
      <c r="S95" t="str">
        <f>"13:51:17.016"</f>
        <v>13:51:17.016</v>
      </c>
      <c r="T95" t="str">
        <f>"13:51:16.516"</f>
        <v>13:51:16.516</v>
      </c>
      <c r="U95" t="str">
        <f t="shared" si="7"/>
        <v>A92BC1</v>
      </c>
      <c r="V95">
        <v>0</v>
      </c>
      <c r="W95">
        <v>0</v>
      </c>
      <c r="X95">
        <v>2</v>
      </c>
      <c r="Z95">
        <v>0</v>
      </c>
      <c r="AA95">
        <v>9</v>
      </c>
      <c r="AB95">
        <v>3</v>
      </c>
      <c r="AC95">
        <v>0</v>
      </c>
      <c r="AD95">
        <v>10</v>
      </c>
      <c r="AE95">
        <v>0</v>
      </c>
      <c r="AF95">
        <v>3</v>
      </c>
      <c r="AG95">
        <v>2</v>
      </c>
      <c r="AH95">
        <v>0</v>
      </c>
      <c r="AI95" t="s">
        <v>205</v>
      </c>
      <c r="AJ95">
        <v>45.645682999999998</v>
      </c>
      <c r="AK95" t="s">
        <v>206</v>
      </c>
      <c r="AL95">
        <v>-89.506152</v>
      </c>
      <c r="AM95">
        <v>100</v>
      </c>
      <c r="AN95">
        <v>3300</v>
      </c>
      <c r="AO95" t="s">
        <v>118</v>
      </c>
      <c r="AP95">
        <v>-14</v>
      </c>
      <c r="AQ95">
        <v>152</v>
      </c>
      <c r="AR95">
        <v>1600</v>
      </c>
      <c r="AZ95">
        <v>1200</v>
      </c>
      <c r="BA95">
        <v>1</v>
      </c>
      <c r="BB95" t="str">
        <f t="shared" si="6"/>
        <v xml:space="preserve">N690LS  </v>
      </c>
      <c r="BC95">
        <v>1</v>
      </c>
      <c r="BE95">
        <v>0</v>
      </c>
      <c r="BF95">
        <v>0</v>
      </c>
      <c r="BG95">
        <v>0</v>
      </c>
      <c r="BH95">
        <v>3350</v>
      </c>
      <c r="BI95">
        <v>1</v>
      </c>
      <c r="BJ95">
        <v>1</v>
      </c>
      <c r="BK95">
        <v>1</v>
      </c>
      <c r="BL95">
        <v>0</v>
      </c>
      <c r="BO95">
        <v>0</v>
      </c>
      <c r="BP95">
        <v>0</v>
      </c>
      <c r="BW95" t="str">
        <f>"13:51:17.020"</f>
        <v>13:51:17.020</v>
      </c>
      <c r="CJ95">
        <v>0</v>
      </c>
      <c r="CK95">
        <v>2</v>
      </c>
      <c r="CL95">
        <v>0</v>
      </c>
      <c r="CM95">
        <v>2</v>
      </c>
      <c r="CN95">
        <v>0</v>
      </c>
      <c r="CO95">
        <v>7</v>
      </c>
      <c r="CP95" t="s">
        <v>119</v>
      </c>
      <c r="CQ95">
        <v>197</v>
      </c>
      <c r="CR95">
        <v>2</v>
      </c>
      <c r="CW95">
        <v>2132390</v>
      </c>
      <c r="CY95">
        <v>1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</row>
    <row r="96" spans="1:113" x14ac:dyDescent="0.3">
      <c r="A96" t="str">
        <f>"09/28/2021 13:51:17.256"</f>
        <v>09/28/2021 13:51:17.256</v>
      </c>
      <c r="C96" t="str">
        <f t="shared" si="5"/>
        <v>FFDFD3C0</v>
      </c>
      <c r="D96" t="s">
        <v>120</v>
      </c>
      <c r="E96">
        <v>12</v>
      </c>
      <c r="F96">
        <v>1012</v>
      </c>
      <c r="G96" t="s">
        <v>114</v>
      </c>
      <c r="J96" t="s">
        <v>121</v>
      </c>
      <c r="K96">
        <v>0</v>
      </c>
      <c r="L96">
        <v>3</v>
      </c>
      <c r="M96">
        <v>0</v>
      </c>
      <c r="N96">
        <v>2</v>
      </c>
      <c r="O96">
        <v>1</v>
      </c>
      <c r="P96">
        <v>0</v>
      </c>
      <c r="Q96">
        <v>0</v>
      </c>
      <c r="S96" t="str">
        <f>"13:51:17.016"</f>
        <v>13:51:17.016</v>
      </c>
      <c r="T96" t="str">
        <f>"13:51:16.516"</f>
        <v>13:51:16.516</v>
      </c>
      <c r="U96" t="str">
        <f t="shared" si="7"/>
        <v>A92BC1</v>
      </c>
      <c r="V96">
        <v>0</v>
      </c>
      <c r="W96">
        <v>0</v>
      </c>
      <c r="X96">
        <v>2</v>
      </c>
      <c r="Z96">
        <v>0</v>
      </c>
      <c r="AA96">
        <v>9</v>
      </c>
      <c r="AB96">
        <v>3</v>
      </c>
      <c r="AC96">
        <v>0</v>
      </c>
      <c r="AD96">
        <v>10</v>
      </c>
      <c r="AE96">
        <v>0</v>
      </c>
      <c r="AF96">
        <v>3</v>
      </c>
      <c r="AG96">
        <v>2</v>
      </c>
      <c r="AH96">
        <v>0</v>
      </c>
      <c r="AI96" t="s">
        <v>205</v>
      </c>
      <c r="AJ96">
        <v>45.645682999999998</v>
      </c>
      <c r="AK96" t="s">
        <v>206</v>
      </c>
      <c r="AL96">
        <v>-89.506152</v>
      </c>
      <c r="AM96">
        <v>100</v>
      </c>
      <c r="AN96">
        <v>3300</v>
      </c>
      <c r="AO96" t="s">
        <v>118</v>
      </c>
      <c r="AP96">
        <v>-14</v>
      </c>
      <c r="AQ96">
        <v>152</v>
      </c>
      <c r="AR96">
        <v>1600</v>
      </c>
      <c r="AZ96">
        <v>1200</v>
      </c>
      <c r="BA96">
        <v>1</v>
      </c>
      <c r="BB96" t="str">
        <f t="shared" si="6"/>
        <v xml:space="preserve">N690LS  </v>
      </c>
      <c r="BC96">
        <v>1</v>
      </c>
      <c r="BE96">
        <v>0</v>
      </c>
      <c r="BF96">
        <v>0</v>
      </c>
      <c r="BG96">
        <v>0</v>
      </c>
      <c r="BH96">
        <v>3350</v>
      </c>
      <c r="BI96">
        <v>1</v>
      </c>
      <c r="BJ96">
        <v>1</v>
      </c>
      <c r="BK96">
        <v>1</v>
      </c>
      <c r="BL96">
        <v>0</v>
      </c>
      <c r="BO96">
        <v>0</v>
      </c>
      <c r="BP96">
        <v>0</v>
      </c>
      <c r="BW96" t="str">
        <f>"13:51:17.020"</f>
        <v>13:51:17.020</v>
      </c>
      <c r="CJ96">
        <v>0</v>
      </c>
      <c r="CK96">
        <v>2</v>
      </c>
      <c r="CL96">
        <v>0</v>
      </c>
      <c r="CM96">
        <v>2</v>
      </c>
      <c r="CN96">
        <v>0</v>
      </c>
      <c r="CO96">
        <v>7</v>
      </c>
      <c r="CP96" t="s">
        <v>119</v>
      </c>
      <c r="CQ96">
        <v>197</v>
      </c>
      <c r="CR96">
        <v>2</v>
      </c>
      <c r="CW96">
        <v>2132390</v>
      </c>
      <c r="CY96">
        <v>1</v>
      </c>
      <c r="CZ96">
        <v>0</v>
      </c>
      <c r="DA96">
        <v>1</v>
      </c>
      <c r="DB96">
        <v>0</v>
      </c>
      <c r="DC96">
        <v>0</v>
      </c>
      <c r="DD96">
        <v>0</v>
      </c>
      <c r="DE96">
        <v>0</v>
      </c>
      <c r="DF96">
        <v>0</v>
      </c>
      <c r="DG96">
        <v>0</v>
      </c>
      <c r="DH96">
        <v>0</v>
      </c>
      <c r="DI96">
        <v>0</v>
      </c>
    </row>
    <row r="97" spans="1:113" x14ac:dyDescent="0.3">
      <c r="A97" t="str">
        <f>"09/28/2021 13:51:18.053"</f>
        <v>09/28/2021 13:51:18.053</v>
      </c>
      <c r="C97" t="str">
        <f t="shared" si="5"/>
        <v>FFDFD3C0</v>
      </c>
      <c r="D97" t="s">
        <v>120</v>
      </c>
      <c r="E97">
        <v>12</v>
      </c>
      <c r="F97">
        <v>1012</v>
      </c>
      <c r="G97" t="s">
        <v>114</v>
      </c>
      <c r="J97" t="s">
        <v>121</v>
      </c>
      <c r="K97">
        <v>0</v>
      </c>
      <c r="L97">
        <v>3</v>
      </c>
      <c r="M97">
        <v>0</v>
      </c>
      <c r="N97">
        <v>2</v>
      </c>
      <c r="O97">
        <v>1</v>
      </c>
      <c r="P97">
        <v>0</v>
      </c>
      <c r="Q97">
        <v>0</v>
      </c>
      <c r="S97" t="str">
        <f>"13:51:17.859"</f>
        <v>13:51:17.859</v>
      </c>
      <c r="T97" t="str">
        <f>"13:51:17.459"</f>
        <v>13:51:17.459</v>
      </c>
      <c r="U97" t="str">
        <f t="shared" si="7"/>
        <v>A92BC1</v>
      </c>
      <c r="V97">
        <v>0</v>
      </c>
      <c r="W97">
        <v>0</v>
      </c>
      <c r="X97">
        <v>2</v>
      </c>
      <c r="Z97">
        <v>0</v>
      </c>
      <c r="AA97">
        <v>9</v>
      </c>
      <c r="AB97">
        <v>3</v>
      </c>
      <c r="AC97">
        <v>0</v>
      </c>
      <c r="AD97">
        <v>10</v>
      </c>
      <c r="AE97">
        <v>0</v>
      </c>
      <c r="AF97">
        <v>3</v>
      </c>
      <c r="AG97">
        <v>2</v>
      </c>
      <c r="AH97">
        <v>0</v>
      </c>
      <c r="AI97" t="s">
        <v>207</v>
      </c>
      <c r="AJ97">
        <v>45.646326999999999</v>
      </c>
      <c r="AK97" t="s">
        <v>208</v>
      </c>
      <c r="AL97">
        <v>-89.506237999999996</v>
      </c>
      <c r="AM97">
        <v>100</v>
      </c>
      <c r="AN97">
        <v>3300</v>
      </c>
      <c r="AO97" t="s">
        <v>118</v>
      </c>
      <c r="AP97">
        <v>-13</v>
      </c>
      <c r="AQ97">
        <v>153</v>
      </c>
      <c r="AR97">
        <v>1664</v>
      </c>
      <c r="AZ97">
        <v>1200</v>
      </c>
      <c r="BA97">
        <v>1</v>
      </c>
      <c r="BB97" t="str">
        <f t="shared" si="6"/>
        <v xml:space="preserve">N690LS  </v>
      </c>
      <c r="BC97">
        <v>1</v>
      </c>
      <c r="BE97">
        <v>0</v>
      </c>
      <c r="BF97">
        <v>0</v>
      </c>
      <c r="BG97">
        <v>0</v>
      </c>
      <c r="BH97">
        <v>3375</v>
      </c>
      <c r="BI97">
        <v>1</v>
      </c>
      <c r="BJ97">
        <v>1</v>
      </c>
      <c r="BK97">
        <v>1</v>
      </c>
      <c r="BL97">
        <v>0</v>
      </c>
      <c r="BO97">
        <v>0</v>
      </c>
      <c r="BP97">
        <v>0</v>
      </c>
      <c r="BW97" t="str">
        <f>"13:51:17.867"</f>
        <v>13:51:17.867</v>
      </c>
      <c r="CJ97">
        <v>0</v>
      </c>
      <c r="CK97">
        <v>2</v>
      </c>
      <c r="CL97">
        <v>0</v>
      </c>
      <c r="CM97">
        <v>2</v>
      </c>
      <c r="CN97">
        <v>0</v>
      </c>
      <c r="CO97">
        <v>4</v>
      </c>
      <c r="CP97" t="s">
        <v>119</v>
      </c>
      <c r="CQ97">
        <v>209</v>
      </c>
      <c r="CR97">
        <v>3</v>
      </c>
      <c r="CW97">
        <v>7125487</v>
      </c>
      <c r="CY97">
        <v>1</v>
      </c>
      <c r="CZ97">
        <v>0</v>
      </c>
      <c r="DA97">
        <v>0</v>
      </c>
      <c r="DB97">
        <v>0</v>
      </c>
      <c r="DC97">
        <v>0</v>
      </c>
      <c r="DD97">
        <v>0</v>
      </c>
      <c r="DE97">
        <v>0</v>
      </c>
      <c r="DF97">
        <v>0</v>
      </c>
      <c r="DG97">
        <v>0</v>
      </c>
      <c r="DH97">
        <v>0</v>
      </c>
      <c r="DI97">
        <v>0</v>
      </c>
    </row>
    <row r="98" spans="1:113" x14ac:dyDescent="0.3">
      <c r="A98" t="str">
        <f>"09/28/2021 13:51:18.069"</f>
        <v>09/28/2021 13:51:18.069</v>
      </c>
      <c r="C98" t="str">
        <f t="shared" si="5"/>
        <v>FFDFD3C0</v>
      </c>
      <c r="D98" t="s">
        <v>113</v>
      </c>
      <c r="E98">
        <v>7</v>
      </c>
      <c r="H98">
        <v>170</v>
      </c>
      <c r="I98" t="s">
        <v>114</v>
      </c>
      <c r="J98" t="s">
        <v>115</v>
      </c>
      <c r="K98">
        <v>0</v>
      </c>
      <c r="L98">
        <v>3</v>
      </c>
      <c r="M98">
        <v>0</v>
      </c>
      <c r="N98">
        <v>2</v>
      </c>
      <c r="O98">
        <v>1</v>
      </c>
      <c r="P98">
        <v>0</v>
      </c>
      <c r="Q98">
        <v>0</v>
      </c>
      <c r="S98" t="str">
        <f>"13:51:17.859"</f>
        <v>13:51:17.859</v>
      </c>
      <c r="T98" t="str">
        <f>"13:51:17.459"</f>
        <v>13:51:17.459</v>
      </c>
      <c r="U98" t="str">
        <f t="shared" si="7"/>
        <v>A92BC1</v>
      </c>
      <c r="V98">
        <v>0</v>
      </c>
      <c r="W98">
        <v>0</v>
      </c>
      <c r="X98">
        <v>2</v>
      </c>
      <c r="Z98">
        <v>0</v>
      </c>
      <c r="AA98">
        <v>9</v>
      </c>
      <c r="AB98">
        <v>3</v>
      </c>
      <c r="AC98">
        <v>0</v>
      </c>
      <c r="AD98">
        <v>10</v>
      </c>
      <c r="AE98">
        <v>0</v>
      </c>
      <c r="AF98">
        <v>3</v>
      </c>
      <c r="AG98">
        <v>2</v>
      </c>
      <c r="AH98">
        <v>0</v>
      </c>
      <c r="AI98" t="s">
        <v>207</v>
      </c>
      <c r="AJ98">
        <v>45.646326999999999</v>
      </c>
      <c r="AK98" t="s">
        <v>208</v>
      </c>
      <c r="AL98">
        <v>-89.506237999999996</v>
      </c>
      <c r="AM98">
        <v>100</v>
      </c>
      <c r="AN98">
        <v>3300</v>
      </c>
      <c r="AO98" t="s">
        <v>118</v>
      </c>
      <c r="AP98">
        <v>-13</v>
      </c>
      <c r="AQ98">
        <v>153</v>
      </c>
      <c r="AR98">
        <v>1664</v>
      </c>
      <c r="AZ98">
        <v>1200</v>
      </c>
      <c r="BA98">
        <v>1</v>
      </c>
      <c r="BB98" t="str">
        <f t="shared" si="6"/>
        <v xml:space="preserve">N690LS  </v>
      </c>
      <c r="BC98">
        <v>1</v>
      </c>
      <c r="BE98">
        <v>0</v>
      </c>
      <c r="BF98">
        <v>0</v>
      </c>
      <c r="BG98">
        <v>0</v>
      </c>
      <c r="BH98">
        <v>3375</v>
      </c>
      <c r="BI98">
        <v>1</v>
      </c>
      <c r="BJ98">
        <v>1</v>
      </c>
      <c r="BK98">
        <v>1</v>
      </c>
      <c r="BL98">
        <v>0</v>
      </c>
      <c r="BO98">
        <v>0</v>
      </c>
      <c r="BP98">
        <v>0</v>
      </c>
      <c r="BW98" t="str">
        <f>"13:51:17.867"</f>
        <v>13:51:17.867</v>
      </c>
      <c r="CJ98">
        <v>0</v>
      </c>
      <c r="CK98">
        <v>2</v>
      </c>
      <c r="CL98">
        <v>0</v>
      </c>
      <c r="CM98">
        <v>2</v>
      </c>
      <c r="CN98">
        <v>0</v>
      </c>
      <c r="CO98">
        <v>4</v>
      </c>
      <c r="CP98" t="s">
        <v>119</v>
      </c>
      <c r="CQ98">
        <v>209</v>
      </c>
      <c r="CR98">
        <v>3</v>
      </c>
      <c r="CW98">
        <v>7125487</v>
      </c>
      <c r="CY98">
        <v>1</v>
      </c>
      <c r="CZ98">
        <v>0</v>
      </c>
      <c r="DA98">
        <v>1</v>
      </c>
      <c r="DB98">
        <v>0</v>
      </c>
      <c r="DC98">
        <v>0</v>
      </c>
      <c r="DD98">
        <v>0</v>
      </c>
      <c r="DE98">
        <v>0</v>
      </c>
      <c r="DF98">
        <v>0</v>
      </c>
      <c r="DG98">
        <v>0</v>
      </c>
      <c r="DH98">
        <v>0</v>
      </c>
      <c r="DI98">
        <v>0</v>
      </c>
    </row>
    <row r="99" spans="1:113" x14ac:dyDescent="0.3">
      <c r="A99" t="str">
        <f>"09/28/2021 13:51:19.195"</f>
        <v>09/28/2021 13:51:19.195</v>
      </c>
      <c r="C99" t="str">
        <f t="shared" si="5"/>
        <v>FFDFD3C0</v>
      </c>
      <c r="D99" t="s">
        <v>120</v>
      </c>
      <c r="E99">
        <v>12</v>
      </c>
      <c r="F99">
        <v>1012</v>
      </c>
      <c r="G99" t="s">
        <v>114</v>
      </c>
      <c r="J99" t="s">
        <v>121</v>
      </c>
      <c r="K99">
        <v>0</v>
      </c>
      <c r="L99">
        <v>3</v>
      </c>
      <c r="M99">
        <v>0</v>
      </c>
      <c r="N99">
        <v>2</v>
      </c>
      <c r="O99">
        <v>1</v>
      </c>
      <c r="P99">
        <v>0</v>
      </c>
      <c r="Q99">
        <v>0</v>
      </c>
      <c r="S99" t="str">
        <f>"13:51:18.961"</f>
        <v>13:51:18.961</v>
      </c>
      <c r="T99" t="str">
        <f>"13:51:18.461"</f>
        <v>13:51:18.461</v>
      </c>
      <c r="U99" t="str">
        <f t="shared" si="7"/>
        <v>A92BC1</v>
      </c>
      <c r="V99">
        <v>0</v>
      </c>
      <c r="W99">
        <v>0</v>
      </c>
      <c r="X99">
        <v>2</v>
      </c>
      <c r="Z99">
        <v>0</v>
      </c>
      <c r="AA99">
        <v>9</v>
      </c>
      <c r="AB99">
        <v>3</v>
      </c>
      <c r="AC99">
        <v>0</v>
      </c>
      <c r="AD99">
        <v>10</v>
      </c>
      <c r="AE99">
        <v>0</v>
      </c>
      <c r="AF99">
        <v>3</v>
      </c>
      <c r="AG99">
        <v>2</v>
      </c>
      <c r="AH99">
        <v>0</v>
      </c>
      <c r="AI99" t="s">
        <v>209</v>
      </c>
      <c r="AJ99">
        <v>45.647098999999997</v>
      </c>
      <c r="AK99" t="s">
        <v>210</v>
      </c>
      <c r="AL99">
        <v>-89.506280000000004</v>
      </c>
      <c r="AM99">
        <v>100</v>
      </c>
      <c r="AN99">
        <v>3400</v>
      </c>
      <c r="AO99" t="s">
        <v>118</v>
      </c>
      <c r="AP99">
        <v>-12</v>
      </c>
      <c r="AQ99">
        <v>154</v>
      </c>
      <c r="AR99">
        <v>1664</v>
      </c>
      <c r="AZ99">
        <v>1200</v>
      </c>
      <c r="BA99">
        <v>1</v>
      </c>
      <c r="BB99" t="str">
        <f t="shared" si="6"/>
        <v xml:space="preserve">N690LS  </v>
      </c>
      <c r="BC99">
        <v>1</v>
      </c>
      <c r="BE99">
        <v>0</v>
      </c>
      <c r="BF99">
        <v>0</v>
      </c>
      <c r="BG99">
        <v>0</v>
      </c>
      <c r="BH99">
        <v>3400</v>
      </c>
      <c r="BI99">
        <v>1</v>
      </c>
      <c r="BJ99">
        <v>1</v>
      </c>
      <c r="BK99">
        <v>1</v>
      </c>
      <c r="BL99">
        <v>0</v>
      </c>
      <c r="BO99">
        <v>0</v>
      </c>
      <c r="BP99">
        <v>0</v>
      </c>
      <c r="BW99" t="str">
        <f>"13:51:18.963"</f>
        <v>13:51:18.963</v>
      </c>
      <c r="CJ99">
        <v>0</v>
      </c>
      <c r="CK99">
        <v>2</v>
      </c>
      <c r="CL99">
        <v>0</v>
      </c>
      <c r="CM99">
        <v>2</v>
      </c>
      <c r="CN99">
        <v>0</v>
      </c>
      <c r="CO99">
        <v>4</v>
      </c>
      <c r="CP99" t="s">
        <v>119</v>
      </c>
      <c r="CQ99">
        <v>209</v>
      </c>
      <c r="CR99">
        <v>3</v>
      </c>
      <c r="CW99">
        <v>7125844</v>
      </c>
      <c r="CY99">
        <v>1</v>
      </c>
      <c r="CZ99">
        <v>0</v>
      </c>
      <c r="DA99">
        <v>0</v>
      </c>
      <c r="DB99">
        <v>0</v>
      </c>
      <c r="DC99">
        <v>0</v>
      </c>
      <c r="DD99">
        <v>0</v>
      </c>
      <c r="DE99">
        <v>0</v>
      </c>
      <c r="DF99">
        <v>0</v>
      </c>
      <c r="DG99">
        <v>0</v>
      </c>
      <c r="DH99">
        <v>0</v>
      </c>
      <c r="DI99">
        <v>0</v>
      </c>
    </row>
    <row r="100" spans="1:113" x14ac:dyDescent="0.3">
      <c r="A100" t="str">
        <f>"09/28/2021 13:51:19.195"</f>
        <v>09/28/2021 13:51:19.195</v>
      </c>
      <c r="C100" t="str">
        <f t="shared" si="5"/>
        <v>FFDFD3C0</v>
      </c>
      <c r="D100" t="s">
        <v>113</v>
      </c>
      <c r="E100">
        <v>7</v>
      </c>
      <c r="H100">
        <v>170</v>
      </c>
      <c r="I100" t="s">
        <v>114</v>
      </c>
      <c r="J100" t="s">
        <v>115</v>
      </c>
      <c r="K100">
        <v>0</v>
      </c>
      <c r="L100">
        <v>3</v>
      </c>
      <c r="M100">
        <v>0</v>
      </c>
      <c r="N100">
        <v>2</v>
      </c>
      <c r="O100">
        <v>1</v>
      </c>
      <c r="P100">
        <v>0</v>
      </c>
      <c r="Q100">
        <v>0</v>
      </c>
      <c r="S100" t="str">
        <f>"13:51:18.961"</f>
        <v>13:51:18.961</v>
      </c>
      <c r="T100" t="str">
        <f>"13:51:18.461"</f>
        <v>13:51:18.461</v>
      </c>
      <c r="U100" t="str">
        <f t="shared" si="7"/>
        <v>A92BC1</v>
      </c>
      <c r="V100">
        <v>0</v>
      </c>
      <c r="W100">
        <v>0</v>
      </c>
      <c r="X100">
        <v>2</v>
      </c>
      <c r="Z100">
        <v>0</v>
      </c>
      <c r="AA100">
        <v>9</v>
      </c>
      <c r="AB100">
        <v>3</v>
      </c>
      <c r="AC100">
        <v>0</v>
      </c>
      <c r="AD100">
        <v>10</v>
      </c>
      <c r="AE100">
        <v>0</v>
      </c>
      <c r="AF100">
        <v>3</v>
      </c>
      <c r="AG100">
        <v>2</v>
      </c>
      <c r="AH100">
        <v>0</v>
      </c>
      <c r="AI100" t="s">
        <v>209</v>
      </c>
      <c r="AJ100">
        <v>45.647098999999997</v>
      </c>
      <c r="AK100" t="s">
        <v>210</v>
      </c>
      <c r="AL100">
        <v>-89.506280000000004</v>
      </c>
      <c r="AM100">
        <v>100</v>
      </c>
      <c r="AN100">
        <v>3400</v>
      </c>
      <c r="AO100" t="s">
        <v>118</v>
      </c>
      <c r="AP100">
        <v>-12</v>
      </c>
      <c r="AQ100">
        <v>154</v>
      </c>
      <c r="AR100">
        <v>1664</v>
      </c>
      <c r="AZ100">
        <v>1200</v>
      </c>
      <c r="BA100">
        <v>1</v>
      </c>
      <c r="BB100" t="str">
        <f t="shared" si="6"/>
        <v xml:space="preserve">N690LS  </v>
      </c>
      <c r="BC100">
        <v>1</v>
      </c>
      <c r="BE100">
        <v>0</v>
      </c>
      <c r="BF100">
        <v>0</v>
      </c>
      <c r="BG100">
        <v>0</v>
      </c>
      <c r="BH100">
        <v>3400</v>
      </c>
      <c r="BI100">
        <v>1</v>
      </c>
      <c r="BJ100">
        <v>1</v>
      </c>
      <c r="BK100">
        <v>1</v>
      </c>
      <c r="BL100">
        <v>0</v>
      </c>
      <c r="BO100">
        <v>0</v>
      </c>
      <c r="BP100">
        <v>0</v>
      </c>
      <c r="BW100" t="str">
        <f>"13:51:18.963"</f>
        <v>13:51:18.963</v>
      </c>
      <c r="CJ100">
        <v>0</v>
      </c>
      <c r="CK100">
        <v>2</v>
      </c>
      <c r="CL100">
        <v>0</v>
      </c>
      <c r="CM100">
        <v>2</v>
      </c>
      <c r="CN100">
        <v>0</v>
      </c>
      <c r="CO100">
        <v>4</v>
      </c>
      <c r="CP100" t="s">
        <v>119</v>
      </c>
      <c r="CQ100">
        <v>209</v>
      </c>
      <c r="CR100">
        <v>3</v>
      </c>
      <c r="CW100">
        <v>7125844</v>
      </c>
      <c r="CY100">
        <v>1</v>
      </c>
      <c r="CZ100">
        <v>0</v>
      </c>
      <c r="DA100">
        <v>1</v>
      </c>
      <c r="DB100">
        <v>0</v>
      </c>
      <c r="DC100">
        <v>0</v>
      </c>
      <c r="DD100">
        <v>0</v>
      </c>
      <c r="DE100">
        <v>0</v>
      </c>
      <c r="DF100">
        <v>0</v>
      </c>
      <c r="DG100">
        <v>0</v>
      </c>
      <c r="DH100">
        <v>0</v>
      </c>
      <c r="DI100">
        <v>0</v>
      </c>
    </row>
    <row r="101" spans="1:113" x14ac:dyDescent="0.3">
      <c r="A101" t="str">
        <f>"09/28/2021 13:51:20.227"</f>
        <v>09/28/2021 13:51:20.227</v>
      </c>
      <c r="C101" t="str">
        <f t="shared" si="5"/>
        <v>FFDFD3C0</v>
      </c>
      <c r="D101" t="s">
        <v>120</v>
      </c>
      <c r="E101">
        <v>12</v>
      </c>
      <c r="F101">
        <v>1012</v>
      </c>
      <c r="G101" t="s">
        <v>114</v>
      </c>
      <c r="J101" t="s">
        <v>121</v>
      </c>
      <c r="K101">
        <v>0</v>
      </c>
      <c r="L101">
        <v>3</v>
      </c>
      <c r="M101">
        <v>0</v>
      </c>
      <c r="N101">
        <v>2</v>
      </c>
      <c r="O101">
        <v>1</v>
      </c>
      <c r="P101">
        <v>0</v>
      </c>
      <c r="Q101">
        <v>0</v>
      </c>
      <c r="S101" t="str">
        <f>"13:51:20.031"</f>
        <v>13:51:20.031</v>
      </c>
      <c r="T101" t="str">
        <f>"13:51:19.531"</f>
        <v>13:51:19.531</v>
      </c>
      <c r="U101" t="str">
        <f t="shared" si="7"/>
        <v>A92BC1</v>
      </c>
      <c r="V101">
        <v>0</v>
      </c>
      <c r="W101">
        <v>0</v>
      </c>
      <c r="X101">
        <v>2</v>
      </c>
      <c r="Z101">
        <v>0</v>
      </c>
      <c r="AA101">
        <v>9</v>
      </c>
      <c r="AB101">
        <v>3</v>
      </c>
      <c r="AC101">
        <v>0</v>
      </c>
      <c r="AD101">
        <v>10</v>
      </c>
      <c r="AE101">
        <v>0</v>
      </c>
      <c r="AF101">
        <v>3</v>
      </c>
      <c r="AG101">
        <v>2</v>
      </c>
      <c r="AH101">
        <v>0</v>
      </c>
      <c r="AI101" t="s">
        <v>211</v>
      </c>
      <c r="AJ101">
        <v>45.647914</v>
      </c>
      <c r="AK101" t="s">
        <v>212</v>
      </c>
      <c r="AL101">
        <v>-89.506366</v>
      </c>
      <c r="AM101">
        <v>100</v>
      </c>
      <c r="AN101">
        <v>3400</v>
      </c>
      <c r="AO101" t="s">
        <v>118</v>
      </c>
      <c r="AP101">
        <v>-12</v>
      </c>
      <c r="AQ101">
        <v>155</v>
      </c>
      <c r="AR101">
        <v>1664</v>
      </c>
      <c r="AZ101">
        <v>1200</v>
      </c>
      <c r="BA101">
        <v>1</v>
      </c>
      <c r="BB101" t="str">
        <f t="shared" si="6"/>
        <v xml:space="preserve">N690LS  </v>
      </c>
      <c r="BC101">
        <v>1</v>
      </c>
      <c r="BE101">
        <v>0</v>
      </c>
      <c r="BF101">
        <v>0</v>
      </c>
      <c r="BG101">
        <v>0</v>
      </c>
      <c r="BH101">
        <v>3425</v>
      </c>
      <c r="BI101">
        <v>1</v>
      </c>
      <c r="BJ101">
        <v>1</v>
      </c>
      <c r="BK101">
        <v>1</v>
      </c>
      <c r="BL101">
        <v>0</v>
      </c>
      <c r="BO101">
        <v>0</v>
      </c>
      <c r="BP101">
        <v>0</v>
      </c>
      <c r="BW101" t="str">
        <f>"13:51:20.038"</f>
        <v>13:51:20.038</v>
      </c>
      <c r="CJ101">
        <v>0</v>
      </c>
      <c r="CK101">
        <v>2</v>
      </c>
      <c r="CL101">
        <v>0</v>
      </c>
      <c r="CM101">
        <v>2</v>
      </c>
      <c r="CN101">
        <v>0</v>
      </c>
      <c r="CO101">
        <v>4</v>
      </c>
      <c r="CP101" t="s">
        <v>119</v>
      </c>
      <c r="CQ101">
        <v>209</v>
      </c>
      <c r="CR101">
        <v>3</v>
      </c>
      <c r="CW101">
        <v>7126178</v>
      </c>
      <c r="CY101">
        <v>1</v>
      </c>
      <c r="CZ101">
        <v>0</v>
      </c>
      <c r="DA101">
        <v>0</v>
      </c>
      <c r="DB101">
        <v>0</v>
      </c>
      <c r="DC101">
        <v>0</v>
      </c>
      <c r="DD101">
        <v>0</v>
      </c>
      <c r="DE101">
        <v>0</v>
      </c>
      <c r="DF101">
        <v>0</v>
      </c>
      <c r="DG101">
        <v>0</v>
      </c>
      <c r="DH101">
        <v>0</v>
      </c>
      <c r="DI101">
        <v>0</v>
      </c>
    </row>
    <row r="102" spans="1:113" x14ac:dyDescent="0.3">
      <c r="A102" t="str">
        <f>"09/28/2021 13:51:20.243"</f>
        <v>09/28/2021 13:51:20.243</v>
      </c>
      <c r="C102" t="str">
        <f t="shared" si="5"/>
        <v>FFDFD3C0</v>
      </c>
      <c r="D102" t="s">
        <v>113</v>
      </c>
      <c r="E102">
        <v>7</v>
      </c>
      <c r="H102">
        <v>170</v>
      </c>
      <c r="I102" t="s">
        <v>114</v>
      </c>
      <c r="J102" t="s">
        <v>115</v>
      </c>
      <c r="K102">
        <v>0</v>
      </c>
      <c r="L102">
        <v>3</v>
      </c>
      <c r="M102">
        <v>0</v>
      </c>
      <c r="N102">
        <v>2</v>
      </c>
      <c r="O102">
        <v>1</v>
      </c>
      <c r="P102">
        <v>0</v>
      </c>
      <c r="Q102">
        <v>0</v>
      </c>
      <c r="S102" t="str">
        <f>"13:51:20.031"</f>
        <v>13:51:20.031</v>
      </c>
      <c r="T102" t="str">
        <f>"13:51:19.531"</f>
        <v>13:51:19.531</v>
      </c>
      <c r="U102" t="str">
        <f t="shared" si="7"/>
        <v>A92BC1</v>
      </c>
      <c r="V102">
        <v>0</v>
      </c>
      <c r="W102">
        <v>0</v>
      </c>
      <c r="X102">
        <v>2</v>
      </c>
      <c r="Z102">
        <v>0</v>
      </c>
      <c r="AA102">
        <v>9</v>
      </c>
      <c r="AB102">
        <v>3</v>
      </c>
      <c r="AC102">
        <v>0</v>
      </c>
      <c r="AD102">
        <v>10</v>
      </c>
      <c r="AE102">
        <v>0</v>
      </c>
      <c r="AF102">
        <v>3</v>
      </c>
      <c r="AG102">
        <v>2</v>
      </c>
      <c r="AH102">
        <v>0</v>
      </c>
      <c r="AI102" t="s">
        <v>211</v>
      </c>
      <c r="AJ102">
        <v>45.647914</v>
      </c>
      <c r="AK102" t="s">
        <v>212</v>
      </c>
      <c r="AL102">
        <v>-89.506366</v>
      </c>
      <c r="AM102">
        <v>100</v>
      </c>
      <c r="AN102">
        <v>3400</v>
      </c>
      <c r="AO102" t="s">
        <v>118</v>
      </c>
      <c r="AP102">
        <v>-12</v>
      </c>
      <c r="AQ102">
        <v>155</v>
      </c>
      <c r="AR102">
        <v>1664</v>
      </c>
      <c r="AZ102">
        <v>1200</v>
      </c>
      <c r="BA102">
        <v>1</v>
      </c>
      <c r="BB102" t="str">
        <f t="shared" si="6"/>
        <v xml:space="preserve">N690LS  </v>
      </c>
      <c r="BC102">
        <v>1</v>
      </c>
      <c r="BE102">
        <v>0</v>
      </c>
      <c r="BF102">
        <v>0</v>
      </c>
      <c r="BG102">
        <v>0</v>
      </c>
      <c r="BH102">
        <v>3425</v>
      </c>
      <c r="BI102">
        <v>1</v>
      </c>
      <c r="BJ102">
        <v>1</v>
      </c>
      <c r="BK102">
        <v>1</v>
      </c>
      <c r="BL102">
        <v>0</v>
      </c>
      <c r="BO102">
        <v>0</v>
      </c>
      <c r="BP102">
        <v>0</v>
      </c>
      <c r="BW102" t="str">
        <f>"13:51:20.038"</f>
        <v>13:51:20.038</v>
      </c>
      <c r="CJ102">
        <v>0</v>
      </c>
      <c r="CK102">
        <v>2</v>
      </c>
      <c r="CL102">
        <v>0</v>
      </c>
      <c r="CM102">
        <v>2</v>
      </c>
      <c r="CN102">
        <v>0</v>
      </c>
      <c r="CO102">
        <v>4</v>
      </c>
      <c r="CP102" t="s">
        <v>119</v>
      </c>
      <c r="CQ102">
        <v>209</v>
      </c>
      <c r="CR102">
        <v>3</v>
      </c>
      <c r="CW102">
        <v>7126178</v>
      </c>
      <c r="CY102">
        <v>1</v>
      </c>
      <c r="CZ102">
        <v>0</v>
      </c>
      <c r="DA102">
        <v>1</v>
      </c>
      <c r="DB102">
        <v>0</v>
      </c>
      <c r="DC102">
        <v>0</v>
      </c>
      <c r="DD102">
        <v>0</v>
      </c>
      <c r="DE102">
        <v>0</v>
      </c>
      <c r="DF102">
        <v>0</v>
      </c>
      <c r="DG102">
        <v>0</v>
      </c>
      <c r="DH102">
        <v>0</v>
      </c>
      <c r="DI102">
        <v>0</v>
      </c>
    </row>
    <row r="103" spans="1:113" x14ac:dyDescent="0.3">
      <c r="A103" t="str">
        <f>"09/28/2021 13:51:21.354"</f>
        <v>09/28/2021 13:51:21.354</v>
      </c>
      <c r="C103" t="str">
        <f t="shared" ref="C103:C166" si="8">"FFDFD3C0"</f>
        <v>FFDFD3C0</v>
      </c>
      <c r="D103" t="s">
        <v>120</v>
      </c>
      <c r="E103">
        <v>12</v>
      </c>
      <c r="F103">
        <v>1012</v>
      </c>
      <c r="G103" t="s">
        <v>114</v>
      </c>
      <c r="J103" t="s">
        <v>121</v>
      </c>
      <c r="K103">
        <v>0</v>
      </c>
      <c r="L103">
        <v>3</v>
      </c>
      <c r="M103">
        <v>0</v>
      </c>
      <c r="N103">
        <v>2</v>
      </c>
      <c r="O103">
        <v>1</v>
      </c>
      <c r="P103">
        <v>0</v>
      </c>
      <c r="Q103">
        <v>0</v>
      </c>
      <c r="S103" t="str">
        <f>"13:51:21.078"</f>
        <v>13:51:21.078</v>
      </c>
      <c r="T103" t="str">
        <f>"13:51:20.678"</f>
        <v>13:51:20.678</v>
      </c>
      <c r="U103" t="str">
        <f t="shared" si="7"/>
        <v>A92BC1</v>
      </c>
      <c r="V103">
        <v>0</v>
      </c>
      <c r="W103">
        <v>0</v>
      </c>
      <c r="X103">
        <v>2</v>
      </c>
      <c r="Z103">
        <v>0</v>
      </c>
      <c r="AA103">
        <v>9</v>
      </c>
      <c r="AB103">
        <v>3</v>
      </c>
      <c r="AC103">
        <v>0</v>
      </c>
      <c r="AD103">
        <v>10</v>
      </c>
      <c r="AE103">
        <v>0</v>
      </c>
      <c r="AF103">
        <v>3</v>
      </c>
      <c r="AG103">
        <v>2</v>
      </c>
      <c r="AH103">
        <v>0</v>
      </c>
      <c r="AI103" t="s">
        <v>213</v>
      </c>
      <c r="AJ103">
        <v>45.648623000000001</v>
      </c>
      <c r="AK103" t="s">
        <v>214</v>
      </c>
      <c r="AL103">
        <v>-89.506431000000006</v>
      </c>
      <c r="AM103">
        <v>100</v>
      </c>
      <c r="AN103">
        <v>3400</v>
      </c>
      <c r="AO103" t="s">
        <v>118</v>
      </c>
      <c r="AP103">
        <v>-11</v>
      </c>
      <c r="AQ103">
        <v>156</v>
      </c>
      <c r="AR103">
        <v>1664</v>
      </c>
      <c r="AZ103">
        <v>1200</v>
      </c>
      <c r="BA103">
        <v>1</v>
      </c>
      <c r="BB103" t="str">
        <f t="shared" ref="BB103:BB166" si="9">"N690LS  "</f>
        <v xml:space="preserve">N690LS  </v>
      </c>
      <c r="BC103">
        <v>1</v>
      </c>
      <c r="BE103">
        <v>0</v>
      </c>
      <c r="BF103">
        <v>0</v>
      </c>
      <c r="BG103">
        <v>0</v>
      </c>
      <c r="BH103">
        <v>3450</v>
      </c>
      <c r="BI103">
        <v>1</v>
      </c>
      <c r="BJ103">
        <v>1</v>
      </c>
      <c r="BK103">
        <v>1</v>
      </c>
      <c r="BL103">
        <v>0</v>
      </c>
      <c r="BO103">
        <v>0</v>
      </c>
      <c r="BP103">
        <v>0</v>
      </c>
      <c r="BW103" t="str">
        <f>"13:51:21.081"</f>
        <v>13:51:21.081</v>
      </c>
      <c r="CJ103">
        <v>0</v>
      </c>
      <c r="CK103">
        <v>2</v>
      </c>
      <c r="CL103">
        <v>0</v>
      </c>
      <c r="CM103">
        <v>2</v>
      </c>
      <c r="CN103">
        <v>0</v>
      </c>
      <c r="CO103">
        <v>5</v>
      </c>
      <c r="CP103" t="s">
        <v>119</v>
      </c>
      <c r="CQ103">
        <v>209</v>
      </c>
      <c r="CR103">
        <v>3</v>
      </c>
      <c r="CW103">
        <v>7126510</v>
      </c>
      <c r="CY103">
        <v>1</v>
      </c>
      <c r="CZ103">
        <v>0</v>
      </c>
      <c r="DA103">
        <v>0</v>
      </c>
      <c r="DB103">
        <v>0</v>
      </c>
      <c r="DC103">
        <v>0</v>
      </c>
      <c r="DD103">
        <v>0</v>
      </c>
      <c r="DE103">
        <v>0</v>
      </c>
      <c r="DF103">
        <v>0</v>
      </c>
      <c r="DG103">
        <v>0</v>
      </c>
      <c r="DH103">
        <v>0</v>
      </c>
      <c r="DI103">
        <v>0</v>
      </c>
    </row>
    <row r="104" spans="1:113" x14ac:dyDescent="0.3">
      <c r="A104" t="str">
        <f>"09/28/2021 13:51:21.354"</f>
        <v>09/28/2021 13:51:21.354</v>
      </c>
      <c r="C104" t="str">
        <f t="shared" si="8"/>
        <v>FFDFD3C0</v>
      </c>
      <c r="D104" t="s">
        <v>113</v>
      </c>
      <c r="E104">
        <v>7</v>
      </c>
      <c r="H104">
        <v>170</v>
      </c>
      <c r="I104" t="s">
        <v>114</v>
      </c>
      <c r="J104" t="s">
        <v>115</v>
      </c>
      <c r="K104">
        <v>0</v>
      </c>
      <c r="L104">
        <v>3</v>
      </c>
      <c r="M104">
        <v>0</v>
      </c>
      <c r="N104">
        <v>2</v>
      </c>
      <c r="O104">
        <v>1</v>
      </c>
      <c r="P104">
        <v>0</v>
      </c>
      <c r="Q104">
        <v>0</v>
      </c>
      <c r="S104" t="str">
        <f>"13:51:21.078"</f>
        <v>13:51:21.078</v>
      </c>
      <c r="T104" t="str">
        <f>"13:51:20.678"</f>
        <v>13:51:20.678</v>
      </c>
      <c r="U104" t="str">
        <f t="shared" si="7"/>
        <v>A92BC1</v>
      </c>
      <c r="V104">
        <v>0</v>
      </c>
      <c r="W104">
        <v>0</v>
      </c>
      <c r="X104">
        <v>2</v>
      </c>
      <c r="Z104">
        <v>0</v>
      </c>
      <c r="AA104">
        <v>9</v>
      </c>
      <c r="AB104">
        <v>3</v>
      </c>
      <c r="AC104">
        <v>0</v>
      </c>
      <c r="AD104">
        <v>10</v>
      </c>
      <c r="AE104">
        <v>0</v>
      </c>
      <c r="AF104">
        <v>3</v>
      </c>
      <c r="AG104">
        <v>2</v>
      </c>
      <c r="AH104">
        <v>0</v>
      </c>
      <c r="AI104" t="s">
        <v>213</v>
      </c>
      <c r="AJ104">
        <v>45.648623000000001</v>
      </c>
      <c r="AK104" t="s">
        <v>214</v>
      </c>
      <c r="AL104">
        <v>-89.506431000000006</v>
      </c>
      <c r="AM104">
        <v>100</v>
      </c>
      <c r="AN104">
        <v>3400</v>
      </c>
      <c r="AO104" t="s">
        <v>118</v>
      </c>
      <c r="AP104">
        <v>-11</v>
      </c>
      <c r="AQ104">
        <v>156</v>
      </c>
      <c r="AR104">
        <v>1664</v>
      </c>
      <c r="AZ104">
        <v>1200</v>
      </c>
      <c r="BA104">
        <v>1</v>
      </c>
      <c r="BB104" t="str">
        <f t="shared" si="9"/>
        <v xml:space="preserve">N690LS  </v>
      </c>
      <c r="BC104">
        <v>1</v>
      </c>
      <c r="BE104">
        <v>0</v>
      </c>
      <c r="BF104">
        <v>0</v>
      </c>
      <c r="BG104">
        <v>0</v>
      </c>
      <c r="BH104">
        <v>3450</v>
      </c>
      <c r="BI104">
        <v>1</v>
      </c>
      <c r="BJ104">
        <v>1</v>
      </c>
      <c r="BK104">
        <v>1</v>
      </c>
      <c r="BL104">
        <v>0</v>
      </c>
      <c r="BO104">
        <v>0</v>
      </c>
      <c r="BP104">
        <v>0</v>
      </c>
      <c r="BW104" t="str">
        <f>"13:51:21.081"</f>
        <v>13:51:21.081</v>
      </c>
      <c r="CJ104">
        <v>0</v>
      </c>
      <c r="CK104">
        <v>2</v>
      </c>
      <c r="CL104">
        <v>0</v>
      </c>
      <c r="CM104">
        <v>2</v>
      </c>
      <c r="CN104">
        <v>0</v>
      </c>
      <c r="CO104">
        <v>5</v>
      </c>
      <c r="CP104" t="s">
        <v>119</v>
      </c>
      <c r="CQ104">
        <v>209</v>
      </c>
      <c r="CR104">
        <v>3</v>
      </c>
      <c r="CW104">
        <v>7126510</v>
      </c>
      <c r="CY104">
        <v>1</v>
      </c>
      <c r="CZ104">
        <v>0</v>
      </c>
      <c r="DA104">
        <v>1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</row>
    <row r="105" spans="1:113" x14ac:dyDescent="0.3">
      <c r="A105" t="str">
        <f>"09/28/2021 13:51:22.464"</f>
        <v>09/28/2021 13:51:22.464</v>
      </c>
      <c r="C105" t="str">
        <f t="shared" si="8"/>
        <v>FFDFD3C0</v>
      </c>
      <c r="D105" t="s">
        <v>120</v>
      </c>
      <c r="E105">
        <v>12</v>
      </c>
      <c r="F105">
        <v>1012</v>
      </c>
      <c r="G105" t="s">
        <v>114</v>
      </c>
      <c r="J105" t="s">
        <v>121</v>
      </c>
      <c r="K105">
        <v>0</v>
      </c>
      <c r="L105">
        <v>3</v>
      </c>
      <c r="M105">
        <v>0</v>
      </c>
      <c r="N105">
        <v>2</v>
      </c>
      <c r="O105">
        <v>1</v>
      </c>
      <c r="P105">
        <v>0</v>
      </c>
      <c r="Q105">
        <v>0</v>
      </c>
      <c r="S105" t="str">
        <f>"13:51:22.172"</f>
        <v>13:51:22.172</v>
      </c>
      <c r="T105" t="str">
        <f>"13:51:21.672"</f>
        <v>13:51:21.672</v>
      </c>
      <c r="U105" t="str">
        <f t="shared" si="7"/>
        <v>A92BC1</v>
      </c>
      <c r="V105">
        <v>0</v>
      </c>
      <c r="W105">
        <v>0</v>
      </c>
      <c r="X105">
        <v>2</v>
      </c>
      <c r="Z105">
        <v>0</v>
      </c>
      <c r="AA105">
        <v>9</v>
      </c>
      <c r="AB105">
        <v>3</v>
      </c>
      <c r="AC105">
        <v>0</v>
      </c>
      <c r="AD105">
        <v>10</v>
      </c>
      <c r="AE105">
        <v>0</v>
      </c>
      <c r="AF105">
        <v>3</v>
      </c>
      <c r="AG105">
        <v>2</v>
      </c>
      <c r="AH105">
        <v>0</v>
      </c>
      <c r="AI105" t="s">
        <v>215</v>
      </c>
      <c r="AJ105">
        <v>45.649438000000004</v>
      </c>
      <c r="AK105" t="s">
        <v>216</v>
      </c>
      <c r="AL105">
        <v>-89.506495000000001</v>
      </c>
      <c r="AM105">
        <v>100</v>
      </c>
      <c r="AN105">
        <v>3400</v>
      </c>
      <c r="AO105" t="s">
        <v>118</v>
      </c>
      <c r="AP105">
        <v>-10</v>
      </c>
      <c r="AQ105">
        <v>157</v>
      </c>
      <c r="AR105">
        <v>1728</v>
      </c>
      <c r="AZ105">
        <v>1200</v>
      </c>
      <c r="BA105">
        <v>1</v>
      </c>
      <c r="BB105" t="str">
        <f t="shared" si="9"/>
        <v xml:space="preserve">N690LS  </v>
      </c>
      <c r="BC105">
        <v>1</v>
      </c>
      <c r="BE105">
        <v>0</v>
      </c>
      <c r="BF105">
        <v>0</v>
      </c>
      <c r="BG105">
        <v>0</v>
      </c>
      <c r="BH105">
        <v>3475</v>
      </c>
      <c r="BI105">
        <v>1</v>
      </c>
      <c r="BJ105">
        <v>1</v>
      </c>
      <c r="BK105">
        <v>1</v>
      </c>
      <c r="BL105">
        <v>0</v>
      </c>
      <c r="BO105">
        <v>0</v>
      </c>
      <c r="BP105">
        <v>0</v>
      </c>
      <c r="BW105" t="str">
        <f>"13:51:22.174"</f>
        <v>13:51:22.174</v>
      </c>
      <c r="CJ105">
        <v>0</v>
      </c>
      <c r="CK105">
        <v>2</v>
      </c>
      <c r="CL105">
        <v>0</v>
      </c>
      <c r="CM105">
        <v>2</v>
      </c>
      <c r="CN105">
        <v>0</v>
      </c>
      <c r="CO105">
        <v>7</v>
      </c>
      <c r="CP105" t="s">
        <v>119</v>
      </c>
      <c r="CQ105">
        <v>197</v>
      </c>
      <c r="CR105">
        <v>2</v>
      </c>
      <c r="CW105">
        <v>2137158</v>
      </c>
      <c r="CY105">
        <v>1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</row>
    <row r="106" spans="1:113" x14ac:dyDescent="0.3">
      <c r="A106" t="str">
        <f>"09/28/2021 13:51:22.464"</f>
        <v>09/28/2021 13:51:22.464</v>
      </c>
      <c r="C106" t="str">
        <f t="shared" si="8"/>
        <v>FFDFD3C0</v>
      </c>
      <c r="D106" t="s">
        <v>113</v>
      </c>
      <c r="E106">
        <v>7</v>
      </c>
      <c r="H106">
        <v>170</v>
      </c>
      <c r="I106" t="s">
        <v>114</v>
      </c>
      <c r="J106" t="s">
        <v>115</v>
      </c>
      <c r="K106">
        <v>0</v>
      </c>
      <c r="L106">
        <v>3</v>
      </c>
      <c r="M106">
        <v>0</v>
      </c>
      <c r="N106">
        <v>2</v>
      </c>
      <c r="O106">
        <v>1</v>
      </c>
      <c r="P106">
        <v>0</v>
      </c>
      <c r="Q106">
        <v>0</v>
      </c>
      <c r="S106" t="str">
        <f>"13:51:22.172"</f>
        <v>13:51:22.172</v>
      </c>
      <c r="T106" t="str">
        <f>"13:51:21.672"</f>
        <v>13:51:21.672</v>
      </c>
      <c r="U106" t="str">
        <f t="shared" si="7"/>
        <v>A92BC1</v>
      </c>
      <c r="V106">
        <v>0</v>
      </c>
      <c r="W106">
        <v>0</v>
      </c>
      <c r="X106">
        <v>2</v>
      </c>
      <c r="Z106">
        <v>0</v>
      </c>
      <c r="AA106">
        <v>9</v>
      </c>
      <c r="AB106">
        <v>3</v>
      </c>
      <c r="AC106">
        <v>0</v>
      </c>
      <c r="AD106">
        <v>10</v>
      </c>
      <c r="AE106">
        <v>0</v>
      </c>
      <c r="AF106">
        <v>3</v>
      </c>
      <c r="AG106">
        <v>2</v>
      </c>
      <c r="AH106">
        <v>0</v>
      </c>
      <c r="AI106" t="s">
        <v>215</v>
      </c>
      <c r="AJ106">
        <v>45.649438000000004</v>
      </c>
      <c r="AK106" t="s">
        <v>216</v>
      </c>
      <c r="AL106">
        <v>-89.506495000000001</v>
      </c>
      <c r="AM106">
        <v>100</v>
      </c>
      <c r="AN106">
        <v>3400</v>
      </c>
      <c r="AO106" t="s">
        <v>118</v>
      </c>
      <c r="AP106">
        <v>-10</v>
      </c>
      <c r="AQ106">
        <v>157</v>
      </c>
      <c r="AR106">
        <v>1728</v>
      </c>
      <c r="AZ106">
        <v>1200</v>
      </c>
      <c r="BA106">
        <v>1</v>
      </c>
      <c r="BB106" t="str">
        <f t="shared" si="9"/>
        <v xml:space="preserve">N690LS  </v>
      </c>
      <c r="BC106">
        <v>1</v>
      </c>
      <c r="BE106">
        <v>0</v>
      </c>
      <c r="BF106">
        <v>0</v>
      </c>
      <c r="BG106">
        <v>0</v>
      </c>
      <c r="BH106">
        <v>3475</v>
      </c>
      <c r="BI106">
        <v>1</v>
      </c>
      <c r="BJ106">
        <v>1</v>
      </c>
      <c r="BK106">
        <v>1</v>
      </c>
      <c r="BL106">
        <v>0</v>
      </c>
      <c r="BO106">
        <v>0</v>
      </c>
      <c r="BP106">
        <v>0</v>
      </c>
      <c r="BW106" t="str">
        <f>"13:51:22.174"</f>
        <v>13:51:22.174</v>
      </c>
      <c r="CJ106">
        <v>0</v>
      </c>
      <c r="CK106">
        <v>2</v>
      </c>
      <c r="CL106">
        <v>0</v>
      </c>
      <c r="CM106">
        <v>2</v>
      </c>
      <c r="CN106">
        <v>0</v>
      </c>
      <c r="CO106">
        <v>7</v>
      </c>
      <c r="CP106" t="s">
        <v>119</v>
      </c>
      <c r="CQ106">
        <v>197</v>
      </c>
      <c r="CR106">
        <v>2</v>
      </c>
      <c r="CW106">
        <v>2137158</v>
      </c>
      <c r="CY106">
        <v>1</v>
      </c>
      <c r="CZ106">
        <v>0</v>
      </c>
      <c r="DA106">
        <v>1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</row>
    <row r="107" spans="1:113" x14ac:dyDescent="0.3">
      <c r="A107" t="str">
        <f>"09/28/2021 13:51:23.403"</f>
        <v>09/28/2021 13:51:23.403</v>
      </c>
      <c r="C107" t="str">
        <f t="shared" si="8"/>
        <v>FFDFD3C0</v>
      </c>
      <c r="D107" t="s">
        <v>120</v>
      </c>
      <c r="E107">
        <v>12</v>
      </c>
      <c r="F107">
        <v>1012</v>
      </c>
      <c r="G107" t="s">
        <v>114</v>
      </c>
      <c r="J107" t="s">
        <v>121</v>
      </c>
      <c r="K107">
        <v>0</v>
      </c>
      <c r="L107">
        <v>3</v>
      </c>
      <c r="M107">
        <v>0</v>
      </c>
      <c r="N107">
        <v>2</v>
      </c>
      <c r="O107">
        <v>1</v>
      </c>
      <c r="P107">
        <v>0</v>
      </c>
      <c r="Q107">
        <v>0</v>
      </c>
      <c r="S107" t="str">
        <f>"13:51:23.203"</f>
        <v>13:51:23.203</v>
      </c>
      <c r="T107" t="str">
        <f>"13:51:22.803"</f>
        <v>13:51:22.803</v>
      </c>
      <c r="U107" t="str">
        <f t="shared" si="7"/>
        <v>A92BC1</v>
      </c>
      <c r="V107">
        <v>0</v>
      </c>
      <c r="W107">
        <v>0</v>
      </c>
      <c r="X107">
        <v>2</v>
      </c>
      <c r="Z107">
        <v>0</v>
      </c>
      <c r="AA107">
        <v>9</v>
      </c>
      <c r="AB107">
        <v>3</v>
      </c>
      <c r="AC107">
        <v>0</v>
      </c>
      <c r="AD107">
        <v>10</v>
      </c>
      <c r="AE107">
        <v>0</v>
      </c>
      <c r="AF107">
        <v>3</v>
      </c>
      <c r="AG107">
        <v>2</v>
      </c>
      <c r="AH107">
        <v>0</v>
      </c>
      <c r="AI107" t="s">
        <v>217</v>
      </c>
      <c r="AJ107">
        <v>45.650167000000003</v>
      </c>
      <c r="AK107" t="s">
        <v>218</v>
      </c>
      <c r="AL107">
        <v>-89.506558999999996</v>
      </c>
      <c r="AM107">
        <v>100</v>
      </c>
      <c r="AN107">
        <v>3500</v>
      </c>
      <c r="AO107" t="s">
        <v>118</v>
      </c>
      <c r="AP107">
        <v>-9</v>
      </c>
      <c r="AQ107">
        <v>158</v>
      </c>
      <c r="AR107">
        <v>1856</v>
      </c>
      <c r="AZ107">
        <v>1200</v>
      </c>
      <c r="BA107">
        <v>1</v>
      </c>
      <c r="BB107" t="str">
        <f t="shared" si="9"/>
        <v xml:space="preserve">N690LS  </v>
      </c>
      <c r="BC107">
        <v>1</v>
      </c>
      <c r="BE107">
        <v>0</v>
      </c>
      <c r="BF107">
        <v>0</v>
      </c>
      <c r="BG107">
        <v>0</v>
      </c>
      <c r="BH107">
        <v>3525</v>
      </c>
      <c r="BI107">
        <v>1</v>
      </c>
      <c r="BJ107">
        <v>1</v>
      </c>
      <c r="BK107">
        <v>1</v>
      </c>
      <c r="BL107">
        <v>0</v>
      </c>
      <c r="BO107">
        <v>0</v>
      </c>
      <c r="BP107">
        <v>0</v>
      </c>
      <c r="BW107" t="str">
        <f>"13:51:23.208"</f>
        <v>13:51:23.208</v>
      </c>
      <c r="CJ107">
        <v>0</v>
      </c>
      <c r="CK107">
        <v>2</v>
      </c>
      <c r="CL107">
        <v>0</v>
      </c>
      <c r="CM107">
        <v>2</v>
      </c>
      <c r="CN107">
        <v>0</v>
      </c>
      <c r="CO107">
        <v>4</v>
      </c>
      <c r="CP107" t="s">
        <v>119</v>
      </c>
      <c r="CQ107">
        <v>209</v>
      </c>
      <c r="CR107">
        <v>3</v>
      </c>
      <c r="CW107">
        <v>7127209</v>
      </c>
      <c r="CY107">
        <v>1</v>
      </c>
      <c r="CZ107">
        <v>0</v>
      </c>
      <c r="DA107">
        <v>0</v>
      </c>
      <c r="DB107">
        <v>0</v>
      </c>
      <c r="DC107">
        <v>0</v>
      </c>
      <c r="DD107">
        <v>0</v>
      </c>
      <c r="DE107">
        <v>0</v>
      </c>
      <c r="DF107">
        <v>0</v>
      </c>
      <c r="DG107">
        <v>0</v>
      </c>
      <c r="DH107">
        <v>0</v>
      </c>
      <c r="DI107">
        <v>0</v>
      </c>
    </row>
    <row r="108" spans="1:113" x14ac:dyDescent="0.3">
      <c r="A108" t="str">
        <f>"09/28/2021 13:51:23.418"</f>
        <v>09/28/2021 13:51:23.418</v>
      </c>
      <c r="C108" t="str">
        <f t="shared" si="8"/>
        <v>FFDFD3C0</v>
      </c>
      <c r="D108" t="s">
        <v>113</v>
      </c>
      <c r="E108">
        <v>7</v>
      </c>
      <c r="H108">
        <v>170</v>
      </c>
      <c r="I108" t="s">
        <v>114</v>
      </c>
      <c r="J108" t="s">
        <v>115</v>
      </c>
      <c r="K108">
        <v>0</v>
      </c>
      <c r="L108">
        <v>3</v>
      </c>
      <c r="M108">
        <v>0</v>
      </c>
      <c r="N108">
        <v>2</v>
      </c>
      <c r="O108">
        <v>1</v>
      </c>
      <c r="P108">
        <v>0</v>
      </c>
      <c r="Q108">
        <v>0</v>
      </c>
      <c r="S108" t="str">
        <f>"13:51:23.203"</f>
        <v>13:51:23.203</v>
      </c>
      <c r="T108" t="str">
        <f>"13:51:22.803"</f>
        <v>13:51:22.803</v>
      </c>
      <c r="U108" t="str">
        <f t="shared" si="7"/>
        <v>A92BC1</v>
      </c>
      <c r="V108">
        <v>0</v>
      </c>
      <c r="W108">
        <v>0</v>
      </c>
      <c r="X108">
        <v>2</v>
      </c>
      <c r="Z108">
        <v>0</v>
      </c>
      <c r="AA108">
        <v>9</v>
      </c>
      <c r="AB108">
        <v>3</v>
      </c>
      <c r="AC108">
        <v>0</v>
      </c>
      <c r="AD108">
        <v>10</v>
      </c>
      <c r="AE108">
        <v>0</v>
      </c>
      <c r="AF108">
        <v>3</v>
      </c>
      <c r="AG108">
        <v>2</v>
      </c>
      <c r="AH108">
        <v>0</v>
      </c>
      <c r="AI108" t="s">
        <v>217</v>
      </c>
      <c r="AJ108">
        <v>45.650167000000003</v>
      </c>
      <c r="AK108" t="s">
        <v>218</v>
      </c>
      <c r="AL108">
        <v>-89.506558999999996</v>
      </c>
      <c r="AM108">
        <v>100</v>
      </c>
      <c r="AN108">
        <v>3500</v>
      </c>
      <c r="AO108" t="s">
        <v>118</v>
      </c>
      <c r="AP108">
        <v>-9</v>
      </c>
      <c r="AQ108">
        <v>158</v>
      </c>
      <c r="AR108">
        <v>1856</v>
      </c>
      <c r="AZ108">
        <v>1200</v>
      </c>
      <c r="BA108">
        <v>1</v>
      </c>
      <c r="BB108" t="str">
        <f t="shared" si="9"/>
        <v xml:space="preserve">N690LS  </v>
      </c>
      <c r="BC108">
        <v>1</v>
      </c>
      <c r="BE108">
        <v>0</v>
      </c>
      <c r="BF108">
        <v>0</v>
      </c>
      <c r="BG108">
        <v>0</v>
      </c>
      <c r="BH108">
        <v>3525</v>
      </c>
      <c r="BI108">
        <v>1</v>
      </c>
      <c r="BJ108">
        <v>1</v>
      </c>
      <c r="BK108">
        <v>1</v>
      </c>
      <c r="BL108">
        <v>0</v>
      </c>
      <c r="BO108">
        <v>0</v>
      </c>
      <c r="BP108">
        <v>0</v>
      </c>
      <c r="BW108" t="str">
        <f>"13:51:23.208"</f>
        <v>13:51:23.208</v>
      </c>
      <c r="CJ108">
        <v>0</v>
      </c>
      <c r="CK108">
        <v>2</v>
      </c>
      <c r="CL108">
        <v>0</v>
      </c>
      <c r="CM108">
        <v>2</v>
      </c>
      <c r="CN108">
        <v>0</v>
      </c>
      <c r="CO108">
        <v>4</v>
      </c>
      <c r="CP108" t="s">
        <v>119</v>
      </c>
      <c r="CQ108">
        <v>209</v>
      </c>
      <c r="CR108">
        <v>3</v>
      </c>
      <c r="CW108">
        <v>7127209</v>
      </c>
      <c r="CY108">
        <v>1</v>
      </c>
      <c r="CZ108">
        <v>0</v>
      </c>
      <c r="DA108">
        <v>1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</row>
    <row r="109" spans="1:113" x14ac:dyDescent="0.3">
      <c r="A109" t="str">
        <f>"09/28/2021 13:51:24.340"</f>
        <v>09/28/2021 13:51:24.340</v>
      </c>
      <c r="C109" t="str">
        <f t="shared" si="8"/>
        <v>FFDFD3C0</v>
      </c>
      <c r="D109" t="s">
        <v>120</v>
      </c>
      <c r="E109">
        <v>12</v>
      </c>
      <c r="F109">
        <v>1012</v>
      </c>
      <c r="G109" t="s">
        <v>114</v>
      </c>
      <c r="J109" t="s">
        <v>121</v>
      </c>
      <c r="K109">
        <v>0</v>
      </c>
      <c r="L109">
        <v>3</v>
      </c>
      <c r="M109">
        <v>0</v>
      </c>
      <c r="N109">
        <v>2</v>
      </c>
      <c r="O109">
        <v>1</v>
      </c>
      <c r="P109">
        <v>0</v>
      </c>
      <c r="Q109">
        <v>0</v>
      </c>
      <c r="S109" t="str">
        <f>"13:51:24.094"</f>
        <v>13:51:24.094</v>
      </c>
      <c r="T109" t="str">
        <f>"13:51:23.694"</f>
        <v>13:51:23.694</v>
      </c>
      <c r="U109" t="str">
        <f t="shared" si="7"/>
        <v>A92BC1</v>
      </c>
      <c r="V109">
        <v>0</v>
      </c>
      <c r="W109">
        <v>0</v>
      </c>
      <c r="X109">
        <v>2</v>
      </c>
      <c r="Z109">
        <v>0</v>
      </c>
      <c r="AA109">
        <v>9</v>
      </c>
      <c r="AB109">
        <v>3</v>
      </c>
      <c r="AC109">
        <v>0</v>
      </c>
      <c r="AD109">
        <v>10</v>
      </c>
      <c r="AE109">
        <v>0</v>
      </c>
      <c r="AF109">
        <v>3</v>
      </c>
      <c r="AG109">
        <v>2</v>
      </c>
      <c r="AH109">
        <v>0</v>
      </c>
      <c r="AI109" t="s">
        <v>219</v>
      </c>
      <c r="AJ109">
        <v>45.650790000000001</v>
      </c>
      <c r="AK109" t="s">
        <v>220</v>
      </c>
      <c r="AL109">
        <v>-89.506580999999997</v>
      </c>
      <c r="AM109">
        <v>100</v>
      </c>
      <c r="AN109">
        <v>3500</v>
      </c>
      <c r="AO109" t="s">
        <v>118</v>
      </c>
      <c r="AP109">
        <v>-7</v>
      </c>
      <c r="AQ109">
        <v>158</v>
      </c>
      <c r="AR109">
        <v>1920</v>
      </c>
      <c r="AZ109">
        <v>1200</v>
      </c>
      <c r="BA109">
        <v>1</v>
      </c>
      <c r="BB109" t="str">
        <f t="shared" si="9"/>
        <v xml:space="preserve">N690LS  </v>
      </c>
      <c r="BC109">
        <v>1</v>
      </c>
      <c r="BE109">
        <v>0</v>
      </c>
      <c r="BF109">
        <v>0</v>
      </c>
      <c r="BG109">
        <v>0</v>
      </c>
      <c r="BH109">
        <v>3550</v>
      </c>
      <c r="BI109">
        <v>1</v>
      </c>
      <c r="BJ109">
        <v>1</v>
      </c>
      <c r="BK109">
        <v>1</v>
      </c>
      <c r="BL109">
        <v>0</v>
      </c>
      <c r="BO109">
        <v>0</v>
      </c>
      <c r="BP109">
        <v>0</v>
      </c>
      <c r="BW109" t="str">
        <f>"13:51:24.101"</f>
        <v>13:51:24.101</v>
      </c>
      <c r="CJ109">
        <v>0</v>
      </c>
      <c r="CK109">
        <v>2</v>
      </c>
      <c r="CL109">
        <v>0</v>
      </c>
      <c r="CM109">
        <v>2</v>
      </c>
      <c r="CN109">
        <v>0</v>
      </c>
      <c r="CO109">
        <v>3</v>
      </c>
      <c r="CP109" t="s">
        <v>119</v>
      </c>
      <c r="CQ109">
        <v>209</v>
      </c>
      <c r="CR109">
        <v>3</v>
      </c>
      <c r="CW109">
        <v>7127496</v>
      </c>
      <c r="CY109">
        <v>1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</row>
    <row r="110" spans="1:113" x14ac:dyDescent="0.3">
      <c r="A110" t="str">
        <f>"09/28/2021 13:51:24.372"</f>
        <v>09/28/2021 13:51:24.372</v>
      </c>
      <c r="C110" t="str">
        <f t="shared" si="8"/>
        <v>FFDFD3C0</v>
      </c>
      <c r="D110" t="s">
        <v>113</v>
      </c>
      <c r="E110">
        <v>7</v>
      </c>
      <c r="H110">
        <v>170</v>
      </c>
      <c r="I110" t="s">
        <v>114</v>
      </c>
      <c r="J110" t="s">
        <v>115</v>
      </c>
      <c r="K110">
        <v>0</v>
      </c>
      <c r="L110">
        <v>3</v>
      </c>
      <c r="M110">
        <v>0</v>
      </c>
      <c r="N110">
        <v>2</v>
      </c>
      <c r="O110">
        <v>1</v>
      </c>
      <c r="P110">
        <v>0</v>
      </c>
      <c r="Q110">
        <v>0</v>
      </c>
      <c r="S110" t="str">
        <f>"13:51:24.094"</f>
        <v>13:51:24.094</v>
      </c>
      <c r="T110" t="str">
        <f>"13:51:23.694"</f>
        <v>13:51:23.694</v>
      </c>
      <c r="U110" t="str">
        <f t="shared" si="7"/>
        <v>A92BC1</v>
      </c>
      <c r="V110">
        <v>0</v>
      </c>
      <c r="W110">
        <v>0</v>
      </c>
      <c r="X110">
        <v>2</v>
      </c>
      <c r="Z110">
        <v>0</v>
      </c>
      <c r="AA110">
        <v>9</v>
      </c>
      <c r="AB110">
        <v>3</v>
      </c>
      <c r="AC110">
        <v>0</v>
      </c>
      <c r="AD110">
        <v>10</v>
      </c>
      <c r="AE110">
        <v>0</v>
      </c>
      <c r="AF110">
        <v>3</v>
      </c>
      <c r="AG110">
        <v>2</v>
      </c>
      <c r="AH110">
        <v>0</v>
      </c>
      <c r="AI110" t="s">
        <v>219</v>
      </c>
      <c r="AJ110">
        <v>45.650790000000001</v>
      </c>
      <c r="AK110" t="s">
        <v>220</v>
      </c>
      <c r="AL110">
        <v>-89.506580999999997</v>
      </c>
      <c r="AM110">
        <v>100</v>
      </c>
      <c r="AN110">
        <v>3500</v>
      </c>
      <c r="AO110" t="s">
        <v>118</v>
      </c>
      <c r="AP110">
        <v>-7</v>
      </c>
      <c r="AQ110">
        <v>158</v>
      </c>
      <c r="AR110">
        <v>1920</v>
      </c>
      <c r="AZ110">
        <v>1200</v>
      </c>
      <c r="BA110">
        <v>1</v>
      </c>
      <c r="BB110" t="str">
        <f t="shared" si="9"/>
        <v xml:space="preserve">N690LS  </v>
      </c>
      <c r="BC110">
        <v>1</v>
      </c>
      <c r="BE110">
        <v>0</v>
      </c>
      <c r="BF110">
        <v>0</v>
      </c>
      <c r="BG110">
        <v>0</v>
      </c>
      <c r="BH110">
        <v>3550</v>
      </c>
      <c r="BI110">
        <v>1</v>
      </c>
      <c r="BJ110">
        <v>1</v>
      </c>
      <c r="BK110">
        <v>1</v>
      </c>
      <c r="BL110">
        <v>0</v>
      </c>
      <c r="BO110">
        <v>0</v>
      </c>
      <c r="BP110">
        <v>0</v>
      </c>
      <c r="BW110" t="str">
        <f>"13:51:24.101"</f>
        <v>13:51:24.101</v>
      </c>
      <c r="CJ110">
        <v>0</v>
      </c>
      <c r="CK110">
        <v>2</v>
      </c>
      <c r="CL110">
        <v>0</v>
      </c>
      <c r="CM110">
        <v>2</v>
      </c>
      <c r="CN110">
        <v>0</v>
      </c>
      <c r="CO110">
        <v>3</v>
      </c>
      <c r="CP110" t="s">
        <v>119</v>
      </c>
      <c r="CQ110">
        <v>209</v>
      </c>
      <c r="CR110">
        <v>3</v>
      </c>
      <c r="CW110">
        <v>7127496</v>
      </c>
      <c r="CY110">
        <v>1</v>
      </c>
      <c r="CZ110">
        <v>0</v>
      </c>
      <c r="DA110">
        <v>1</v>
      </c>
      <c r="DB110">
        <v>0</v>
      </c>
      <c r="DC110">
        <v>0</v>
      </c>
      <c r="DD110">
        <v>0</v>
      </c>
      <c r="DE110">
        <v>0</v>
      </c>
      <c r="DF110">
        <v>0</v>
      </c>
      <c r="DG110">
        <v>0</v>
      </c>
      <c r="DH110">
        <v>0</v>
      </c>
      <c r="DI110">
        <v>0</v>
      </c>
    </row>
    <row r="111" spans="1:113" x14ac:dyDescent="0.3">
      <c r="A111" t="str">
        <f>"09/28/2021 13:51:25.309"</f>
        <v>09/28/2021 13:51:25.309</v>
      </c>
      <c r="C111" t="str">
        <f t="shared" si="8"/>
        <v>FFDFD3C0</v>
      </c>
      <c r="D111" t="s">
        <v>113</v>
      </c>
      <c r="E111">
        <v>7</v>
      </c>
      <c r="H111">
        <v>170</v>
      </c>
      <c r="I111" t="s">
        <v>114</v>
      </c>
      <c r="J111" t="s">
        <v>115</v>
      </c>
      <c r="K111">
        <v>0</v>
      </c>
      <c r="L111">
        <v>3</v>
      </c>
      <c r="M111">
        <v>0</v>
      </c>
      <c r="N111">
        <v>2</v>
      </c>
      <c r="O111">
        <v>1</v>
      </c>
      <c r="P111">
        <v>0</v>
      </c>
      <c r="Q111">
        <v>0</v>
      </c>
      <c r="S111" t="str">
        <f>"13:51:25.102"</f>
        <v>13:51:25.102</v>
      </c>
      <c r="T111" t="str">
        <f>"13:51:24.602"</f>
        <v>13:51:24.602</v>
      </c>
      <c r="U111" t="str">
        <f t="shared" si="7"/>
        <v>A92BC1</v>
      </c>
      <c r="V111">
        <v>0</v>
      </c>
      <c r="W111">
        <v>0</v>
      </c>
      <c r="X111">
        <v>2</v>
      </c>
      <c r="Z111">
        <v>0</v>
      </c>
      <c r="AA111">
        <v>9</v>
      </c>
      <c r="AB111">
        <v>3</v>
      </c>
      <c r="AC111">
        <v>0</v>
      </c>
      <c r="AD111">
        <v>10</v>
      </c>
      <c r="AE111">
        <v>0</v>
      </c>
      <c r="AF111">
        <v>3</v>
      </c>
      <c r="AG111">
        <v>2</v>
      </c>
      <c r="AH111">
        <v>0</v>
      </c>
      <c r="AI111" t="s">
        <v>221</v>
      </c>
      <c r="AJ111">
        <v>45.651541000000002</v>
      </c>
      <c r="AK111" t="s">
        <v>222</v>
      </c>
      <c r="AL111">
        <v>-89.506645000000006</v>
      </c>
      <c r="AM111">
        <v>100</v>
      </c>
      <c r="AN111">
        <v>3500</v>
      </c>
      <c r="AO111" t="s">
        <v>118</v>
      </c>
      <c r="AP111">
        <v>-5</v>
      </c>
      <c r="AQ111">
        <v>159</v>
      </c>
      <c r="AR111">
        <v>1920</v>
      </c>
      <c r="AZ111">
        <v>1200</v>
      </c>
      <c r="BA111">
        <v>1</v>
      </c>
      <c r="BB111" t="str">
        <f t="shared" si="9"/>
        <v xml:space="preserve">N690LS  </v>
      </c>
      <c r="BC111">
        <v>1</v>
      </c>
      <c r="BE111">
        <v>0</v>
      </c>
      <c r="BF111">
        <v>0</v>
      </c>
      <c r="BG111">
        <v>0</v>
      </c>
      <c r="BH111">
        <v>3575</v>
      </c>
      <c r="BI111">
        <v>1</v>
      </c>
      <c r="BJ111">
        <v>1</v>
      </c>
      <c r="BK111">
        <v>1</v>
      </c>
      <c r="BL111">
        <v>0</v>
      </c>
      <c r="BO111">
        <v>0</v>
      </c>
      <c r="BP111">
        <v>0</v>
      </c>
      <c r="BW111" t="str">
        <f>"13:51:25.107"</f>
        <v>13:51:25.107</v>
      </c>
      <c r="CJ111">
        <v>0</v>
      </c>
      <c r="CK111">
        <v>2</v>
      </c>
      <c r="CL111">
        <v>0</v>
      </c>
      <c r="CM111">
        <v>2</v>
      </c>
      <c r="CN111">
        <v>0</v>
      </c>
      <c r="CO111">
        <v>7</v>
      </c>
      <c r="CP111" t="s">
        <v>119</v>
      </c>
      <c r="CQ111">
        <v>197</v>
      </c>
      <c r="CR111">
        <v>2</v>
      </c>
      <c r="CW111">
        <v>2139723</v>
      </c>
      <c r="CY111">
        <v>1</v>
      </c>
      <c r="CZ111">
        <v>0</v>
      </c>
      <c r="DA111">
        <v>0</v>
      </c>
      <c r="DB111">
        <v>0</v>
      </c>
      <c r="DC111">
        <v>0</v>
      </c>
      <c r="DD111">
        <v>0</v>
      </c>
      <c r="DE111">
        <v>0</v>
      </c>
      <c r="DF111">
        <v>0</v>
      </c>
      <c r="DG111">
        <v>0</v>
      </c>
      <c r="DH111">
        <v>0</v>
      </c>
      <c r="DI111">
        <v>0</v>
      </c>
    </row>
    <row r="112" spans="1:113" x14ac:dyDescent="0.3">
      <c r="A112" t="str">
        <f>"09/28/2021 13:51:25.325"</f>
        <v>09/28/2021 13:51:25.325</v>
      </c>
      <c r="C112" t="str">
        <f t="shared" si="8"/>
        <v>FFDFD3C0</v>
      </c>
      <c r="D112" t="s">
        <v>120</v>
      </c>
      <c r="E112">
        <v>12</v>
      </c>
      <c r="F112">
        <v>1012</v>
      </c>
      <c r="G112" t="s">
        <v>114</v>
      </c>
      <c r="J112" t="s">
        <v>121</v>
      </c>
      <c r="K112">
        <v>0</v>
      </c>
      <c r="L112">
        <v>3</v>
      </c>
      <c r="M112">
        <v>0</v>
      </c>
      <c r="N112">
        <v>2</v>
      </c>
      <c r="O112">
        <v>1</v>
      </c>
      <c r="P112">
        <v>0</v>
      </c>
      <c r="Q112">
        <v>0</v>
      </c>
      <c r="S112" t="str">
        <f>"13:51:25.102"</f>
        <v>13:51:25.102</v>
      </c>
      <c r="T112" t="str">
        <f>"13:51:24.602"</f>
        <v>13:51:24.602</v>
      </c>
      <c r="U112" t="str">
        <f t="shared" si="7"/>
        <v>A92BC1</v>
      </c>
      <c r="V112">
        <v>0</v>
      </c>
      <c r="W112">
        <v>0</v>
      </c>
      <c r="X112">
        <v>2</v>
      </c>
      <c r="Z112">
        <v>0</v>
      </c>
      <c r="AA112">
        <v>9</v>
      </c>
      <c r="AB112">
        <v>3</v>
      </c>
      <c r="AC112">
        <v>0</v>
      </c>
      <c r="AD112">
        <v>10</v>
      </c>
      <c r="AE112">
        <v>0</v>
      </c>
      <c r="AF112">
        <v>3</v>
      </c>
      <c r="AG112">
        <v>2</v>
      </c>
      <c r="AH112">
        <v>0</v>
      </c>
      <c r="AI112" t="s">
        <v>221</v>
      </c>
      <c r="AJ112">
        <v>45.651541000000002</v>
      </c>
      <c r="AK112" t="s">
        <v>222</v>
      </c>
      <c r="AL112">
        <v>-89.506645000000006</v>
      </c>
      <c r="AM112">
        <v>100</v>
      </c>
      <c r="AN112">
        <v>3500</v>
      </c>
      <c r="AO112" t="s">
        <v>118</v>
      </c>
      <c r="AP112">
        <v>-5</v>
      </c>
      <c r="AQ112">
        <v>159</v>
      </c>
      <c r="AR112">
        <v>1920</v>
      </c>
      <c r="AZ112">
        <v>1200</v>
      </c>
      <c r="BA112">
        <v>1</v>
      </c>
      <c r="BB112" t="str">
        <f t="shared" si="9"/>
        <v xml:space="preserve">N690LS  </v>
      </c>
      <c r="BC112">
        <v>1</v>
      </c>
      <c r="BE112">
        <v>0</v>
      </c>
      <c r="BF112">
        <v>0</v>
      </c>
      <c r="BG112">
        <v>0</v>
      </c>
      <c r="BH112">
        <v>3575</v>
      </c>
      <c r="BI112">
        <v>1</v>
      </c>
      <c r="BJ112">
        <v>1</v>
      </c>
      <c r="BK112">
        <v>1</v>
      </c>
      <c r="BL112">
        <v>0</v>
      </c>
      <c r="BO112">
        <v>0</v>
      </c>
      <c r="BP112">
        <v>0</v>
      </c>
      <c r="BW112" t="str">
        <f>"13:51:25.107"</f>
        <v>13:51:25.107</v>
      </c>
      <c r="CJ112">
        <v>0</v>
      </c>
      <c r="CK112">
        <v>2</v>
      </c>
      <c r="CL112">
        <v>0</v>
      </c>
      <c r="CM112">
        <v>2</v>
      </c>
      <c r="CN112">
        <v>0</v>
      </c>
      <c r="CO112">
        <v>7</v>
      </c>
      <c r="CP112" t="s">
        <v>119</v>
      </c>
      <c r="CQ112">
        <v>197</v>
      </c>
      <c r="CR112">
        <v>2</v>
      </c>
      <c r="CW112">
        <v>2139723</v>
      </c>
      <c r="CY112">
        <v>1</v>
      </c>
      <c r="CZ112">
        <v>0</v>
      </c>
      <c r="DA112">
        <v>1</v>
      </c>
      <c r="DB112">
        <v>0</v>
      </c>
      <c r="DC112">
        <v>0</v>
      </c>
      <c r="DD112">
        <v>0</v>
      </c>
      <c r="DE112">
        <v>0</v>
      </c>
      <c r="DF112">
        <v>0</v>
      </c>
      <c r="DG112">
        <v>0</v>
      </c>
      <c r="DH112">
        <v>0</v>
      </c>
      <c r="DI112">
        <v>0</v>
      </c>
    </row>
    <row r="113" spans="1:113" x14ac:dyDescent="0.3">
      <c r="A113" t="str">
        <f>"09/28/2021 13:51:26.278"</f>
        <v>09/28/2021 13:51:26.278</v>
      </c>
      <c r="C113" t="str">
        <f t="shared" si="8"/>
        <v>FFDFD3C0</v>
      </c>
      <c r="D113" t="s">
        <v>120</v>
      </c>
      <c r="E113">
        <v>12</v>
      </c>
      <c r="F113">
        <v>1012</v>
      </c>
      <c r="G113" t="s">
        <v>114</v>
      </c>
      <c r="J113" t="s">
        <v>121</v>
      </c>
      <c r="K113">
        <v>0</v>
      </c>
      <c r="L113">
        <v>3</v>
      </c>
      <c r="M113">
        <v>0</v>
      </c>
      <c r="N113">
        <v>2</v>
      </c>
      <c r="O113">
        <v>1</v>
      </c>
      <c r="P113">
        <v>0</v>
      </c>
      <c r="Q113">
        <v>0</v>
      </c>
      <c r="S113" t="str">
        <f>"13:51:26.031"</f>
        <v>13:51:26.031</v>
      </c>
      <c r="T113" t="str">
        <f>"13:51:25.631"</f>
        <v>13:51:25.631</v>
      </c>
      <c r="U113" t="str">
        <f t="shared" si="7"/>
        <v>A92BC1</v>
      </c>
      <c r="V113">
        <v>0</v>
      </c>
      <c r="W113">
        <v>0</v>
      </c>
      <c r="X113">
        <v>2</v>
      </c>
      <c r="Z113">
        <v>0</v>
      </c>
      <c r="AA113">
        <v>9</v>
      </c>
      <c r="AB113">
        <v>3</v>
      </c>
      <c r="AC113">
        <v>0</v>
      </c>
      <c r="AD113">
        <v>10</v>
      </c>
      <c r="AE113">
        <v>0</v>
      </c>
      <c r="AF113">
        <v>3</v>
      </c>
      <c r="AG113">
        <v>2</v>
      </c>
      <c r="AH113">
        <v>0</v>
      </c>
      <c r="AI113" t="s">
        <v>223</v>
      </c>
      <c r="AJ113">
        <v>45.652292000000003</v>
      </c>
      <c r="AK113" t="s">
        <v>222</v>
      </c>
      <c r="AL113">
        <v>-89.506645000000006</v>
      </c>
      <c r="AM113">
        <v>100</v>
      </c>
      <c r="AN113">
        <v>3600</v>
      </c>
      <c r="AO113" t="s">
        <v>118</v>
      </c>
      <c r="AP113">
        <v>-1</v>
      </c>
      <c r="AQ113">
        <v>159</v>
      </c>
      <c r="AR113">
        <v>1984</v>
      </c>
      <c r="AZ113">
        <v>1200</v>
      </c>
      <c r="BA113">
        <v>1</v>
      </c>
      <c r="BB113" t="str">
        <f t="shared" si="9"/>
        <v xml:space="preserve">N690LS  </v>
      </c>
      <c r="BC113">
        <v>1</v>
      </c>
      <c r="BE113">
        <v>0</v>
      </c>
      <c r="BF113">
        <v>0</v>
      </c>
      <c r="BG113">
        <v>0</v>
      </c>
      <c r="BH113">
        <v>3600</v>
      </c>
      <c r="BI113">
        <v>1</v>
      </c>
      <c r="BJ113">
        <v>1</v>
      </c>
      <c r="BK113">
        <v>1</v>
      </c>
      <c r="BL113">
        <v>0</v>
      </c>
      <c r="BO113">
        <v>0</v>
      </c>
      <c r="BP113">
        <v>0</v>
      </c>
      <c r="BW113" t="str">
        <f>"13:51:26.036"</f>
        <v>13:51:26.036</v>
      </c>
      <c r="CJ113">
        <v>0</v>
      </c>
      <c r="CK113">
        <v>2</v>
      </c>
      <c r="CL113">
        <v>0</v>
      </c>
      <c r="CM113">
        <v>2</v>
      </c>
      <c r="CN113">
        <v>0</v>
      </c>
      <c r="CO113">
        <v>5</v>
      </c>
      <c r="CP113" t="s">
        <v>119</v>
      </c>
      <c r="CQ113">
        <v>209</v>
      </c>
      <c r="CR113">
        <v>3</v>
      </c>
      <c r="CW113">
        <v>7128089</v>
      </c>
      <c r="CY113">
        <v>1</v>
      </c>
      <c r="CZ113">
        <v>0</v>
      </c>
      <c r="DA113">
        <v>0</v>
      </c>
      <c r="DB113">
        <v>0</v>
      </c>
      <c r="DC113">
        <v>0</v>
      </c>
      <c r="DD113">
        <v>0</v>
      </c>
      <c r="DE113">
        <v>0</v>
      </c>
      <c r="DF113">
        <v>0</v>
      </c>
      <c r="DG113">
        <v>0</v>
      </c>
      <c r="DH113">
        <v>0</v>
      </c>
      <c r="DI113">
        <v>0</v>
      </c>
    </row>
    <row r="114" spans="1:113" x14ac:dyDescent="0.3">
      <c r="A114" t="str">
        <f>"09/28/2021 13:51:26.278"</f>
        <v>09/28/2021 13:51:26.278</v>
      </c>
      <c r="C114" t="str">
        <f t="shared" si="8"/>
        <v>FFDFD3C0</v>
      </c>
      <c r="D114" t="s">
        <v>113</v>
      </c>
      <c r="E114">
        <v>7</v>
      </c>
      <c r="H114">
        <v>170</v>
      </c>
      <c r="I114" t="s">
        <v>114</v>
      </c>
      <c r="J114" t="s">
        <v>115</v>
      </c>
      <c r="K114">
        <v>0</v>
      </c>
      <c r="L114">
        <v>3</v>
      </c>
      <c r="M114">
        <v>0</v>
      </c>
      <c r="N114">
        <v>2</v>
      </c>
      <c r="O114">
        <v>1</v>
      </c>
      <c r="P114">
        <v>0</v>
      </c>
      <c r="Q114">
        <v>0</v>
      </c>
      <c r="S114" t="str">
        <f>"13:51:26.031"</f>
        <v>13:51:26.031</v>
      </c>
      <c r="T114" t="str">
        <f>"13:51:25.631"</f>
        <v>13:51:25.631</v>
      </c>
      <c r="U114" t="str">
        <f t="shared" si="7"/>
        <v>A92BC1</v>
      </c>
      <c r="V114">
        <v>0</v>
      </c>
      <c r="W114">
        <v>0</v>
      </c>
      <c r="X114">
        <v>2</v>
      </c>
      <c r="Z114">
        <v>0</v>
      </c>
      <c r="AA114">
        <v>9</v>
      </c>
      <c r="AB114">
        <v>3</v>
      </c>
      <c r="AC114">
        <v>0</v>
      </c>
      <c r="AD114">
        <v>10</v>
      </c>
      <c r="AE114">
        <v>0</v>
      </c>
      <c r="AF114">
        <v>3</v>
      </c>
      <c r="AG114">
        <v>2</v>
      </c>
      <c r="AH114">
        <v>0</v>
      </c>
      <c r="AI114" t="s">
        <v>223</v>
      </c>
      <c r="AJ114">
        <v>45.652292000000003</v>
      </c>
      <c r="AK114" t="s">
        <v>222</v>
      </c>
      <c r="AL114">
        <v>-89.506645000000006</v>
      </c>
      <c r="AM114">
        <v>100</v>
      </c>
      <c r="AN114">
        <v>3600</v>
      </c>
      <c r="AO114" t="s">
        <v>118</v>
      </c>
      <c r="AP114">
        <v>-1</v>
      </c>
      <c r="AQ114">
        <v>159</v>
      </c>
      <c r="AR114">
        <v>1984</v>
      </c>
      <c r="AZ114">
        <v>1200</v>
      </c>
      <c r="BA114">
        <v>1</v>
      </c>
      <c r="BB114" t="str">
        <f t="shared" si="9"/>
        <v xml:space="preserve">N690LS  </v>
      </c>
      <c r="BC114">
        <v>1</v>
      </c>
      <c r="BE114">
        <v>0</v>
      </c>
      <c r="BF114">
        <v>0</v>
      </c>
      <c r="BG114">
        <v>0</v>
      </c>
      <c r="BH114">
        <v>3600</v>
      </c>
      <c r="BI114">
        <v>1</v>
      </c>
      <c r="BJ114">
        <v>1</v>
      </c>
      <c r="BK114">
        <v>1</v>
      </c>
      <c r="BL114">
        <v>0</v>
      </c>
      <c r="BO114">
        <v>0</v>
      </c>
      <c r="BP114">
        <v>0</v>
      </c>
      <c r="BW114" t="str">
        <f>"13:51:26.036"</f>
        <v>13:51:26.036</v>
      </c>
      <c r="CJ114">
        <v>0</v>
      </c>
      <c r="CK114">
        <v>2</v>
      </c>
      <c r="CL114">
        <v>0</v>
      </c>
      <c r="CM114">
        <v>2</v>
      </c>
      <c r="CN114">
        <v>0</v>
      </c>
      <c r="CO114">
        <v>5</v>
      </c>
      <c r="CP114" t="s">
        <v>119</v>
      </c>
      <c r="CQ114">
        <v>209</v>
      </c>
      <c r="CR114">
        <v>3</v>
      </c>
      <c r="CW114">
        <v>7128089</v>
      </c>
      <c r="CY114">
        <v>1</v>
      </c>
      <c r="CZ114">
        <v>0</v>
      </c>
      <c r="DA114">
        <v>1</v>
      </c>
      <c r="DB114">
        <v>0</v>
      </c>
      <c r="DC114">
        <v>0</v>
      </c>
      <c r="DD114">
        <v>0</v>
      </c>
      <c r="DE114">
        <v>0</v>
      </c>
      <c r="DF114">
        <v>0</v>
      </c>
      <c r="DG114">
        <v>0</v>
      </c>
      <c r="DH114">
        <v>0</v>
      </c>
      <c r="DI114">
        <v>0</v>
      </c>
    </row>
    <row r="115" spans="1:113" x14ac:dyDescent="0.3">
      <c r="A115" t="str">
        <f>"09/28/2021 13:51:27.306"</f>
        <v>09/28/2021 13:51:27.306</v>
      </c>
      <c r="C115" t="str">
        <f t="shared" si="8"/>
        <v>FFDFD3C0</v>
      </c>
      <c r="D115" t="s">
        <v>113</v>
      </c>
      <c r="E115">
        <v>7</v>
      </c>
      <c r="H115">
        <v>170</v>
      </c>
      <c r="I115" t="s">
        <v>114</v>
      </c>
      <c r="J115" t="s">
        <v>115</v>
      </c>
      <c r="K115">
        <v>0</v>
      </c>
      <c r="L115">
        <v>3</v>
      </c>
      <c r="M115">
        <v>0</v>
      </c>
      <c r="N115">
        <v>2</v>
      </c>
      <c r="O115">
        <v>1</v>
      </c>
      <c r="P115">
        <v>0</v>
      </c>
      <c r="Q115">
        <v>0</v>
      </c>
      <c r="S115" t="str">
        <f>"13:51:27.086"</f>
        <v>13:51:27.086</v>
      </c>
      <c r="T115" t="str">
        <f>"13:51:26.586"</f>
        <v>13:51:26.586</v>
      </c>
      <c r="U115" t="str">
        <f t="shared" si="7"/>
        <v>A92BC1</v>
      </c>
      <c r="V115">
        <v>0</v>
      </c>
      <c r="W115">
        <v>0</v>
      </c>
      <c r="X115">
        <v>2</v>
      </c>
      <c r="Z115">
        <v>0</v>
      </c>
      <c r="AA115">
        <v>9</v>
      </c>
      <c r="AB115">
        <v>3</v>
      </c>
      <c r="AC115">
        <v>0</v>
      </c>
      <c r="AD115">
        <v>10</v>
      </c>
      <c r="AE115">
        <v>0</v>
      </c>
      <c r="AF115">
        <v>3</v>
      </c>
      <c r="AG115">
        <v>2</v>
      </c>
      <c r="AH115">
        <v>0</v>
      </c>
      <c r="AI115" t="s">
        <v>224</v>
      </c>
      <c r="AJ115">
        <v>45.653042999999997</v>
      </c>
      <c r="AK115" t="s">
        <v>220</v>
      </c>
      <c r="AL115">
        <v>-89.506580999999997</v>
      </c>
      <c r="AM115">
        <v>100</v>
      </c>
      <c r="AN115">
        <v>3600</v>
      </c>
      <c r="AO115" t="s">
        <v>118</v>
      </c>
      <c r="AP115">
        <v>4</v>
      </c>
      <c r="AQ115">
        <v>160</v>
      </c>
      <c r="AR115">
        <v>2048</v>
      </c>
      <c r="AZ115">
        <v>1200</v>
      </c>
      <c r="BA115">
        <v>1</v>
      </c>
      <c r="BB115" t="str">
        <f t="shared" si="9"/>
        <v xml:space="preserve">N690LS  </v>
      </c>
      <c r="BC115">
        <v>1</v>
      </c>
      <c r="BE115">
        <v>0</v>
      </c>
      <c r="BF115">
        <v>0</v>
      </c>
      <c r="BG115">
        <v>0</v>
      </c>
      <c r="BH115">
        <v>3625</v>
      </c>
      <c r="BI115">
        <v>1</v>
      </c>
      <c r="BJ115">
        <v>1</v>
      </c>
      <c r="BK115">
        <v>1</v>
      </c>
      <c r="BL115">
        <v>0</v>
      </c>
      <c r="BO115">
        <v>0</v>
      </c>
      <c r="BP115">
        <v>0</v>
      </c>
      <c r="BW115" t="str">
        <f>"13:51:27.089"</f>
        <v>13:51:27.089</v>
      </c>
      <c r="CJ115">
        <v>0</v>
      </c>
      <c r="CK115">
        <v>2</v>
      </c>
      <c r="CL115">
        <v>0</v>
      </c>
      <c r="CM115">
        <v>2</v>
      </c>
      <c r="CN115">
        <v>0</v>
      </c>
      <c r="CO115">
        <v>4</v>
      </c>
      <c r="CP115" t="s">
        <v>119</v>
      </c>
      <c r="CQ115">
        <v>193</v>
      </c>
      <c r="CR115">
        <v>1</v>
      </c>
      <c r="CW115">
        <v>12249487</v>
      </c>
      <c r="CY115">
        <v>1</v>
      </c>
      <c r="CZ115">
        <v>0</v>
      </c>
      <c r="DA115">
        <v>0</v>
      </c>
      <c r="DB115">
        <v>0</v>
      </c>
      <c r="DC115">
        <v>0</v>
      </c>
      <c r="DD115">
        <v>0</v>
      </c>
      <c r="DE115">
        <v>0</v>
      </c>
      <c r="DF115">
        <v>0</v>
      </c>
      <c r="DG115">
        <v>0</v>
      </c>
      <c r="DH115">
        <v>0</v>
      </c>
      <c r="DI115">
        <v>0</v>
      </c>
    </row>
    <row r="116" spans="1:113" x14ac:dyDescent="0.3">
      <c r="A116" t="str">
        <f>"09/28/2021 13:51:27.353"</f>
        <v>09/28/2021 13:51:27.353</v>
      </c>
      <c r="C116" t="str">
        <f t="shared" si="8"/>
        <v>FFDFD3C0</v>
      </c>
      <c r="D116" t="s">
        <v>120</v>
      </c>
      <c r="E116">
        <v>12</v>
      </c>
      <c r="F116">
        <v>1012</v>
      </c>
      <c r="G116" t="s">
        <v>114</v>
      </c>
      <c r="J116" t="s">
        <v>121</v>
      </c>
      <c r="K116">
        <v>0</v>
      </c>
      <c r="L116">
        <v>3</v>
      </c>
      <c r="M116">
        <v>0</v>
      </c>
      <c r="N116">
        <v>2</v>
      </c>
      <c r="O116">
        <v>1</v>
      </c>
      <c r="P116">
        <v>0</v>
      </c>
      <c r="Q116">
        <v>0</v>
      </c>
      <c r="S116" t="str">
        <f>"13:51:27.086"</f>
        <v>13:51:27.086</v>
      </c>
      <c r="T116" t="str">
        <f>"13:51:26.586"</f>
        <v>13:51:26.586</v>
      </c>
      <c r="U116" t="str">
        <f t="shared" si="7"/>
        <v>A92BC1</v>
      </c>
      <c r="V116">
        <v>0</v>
      </c>
      <c r="W116">
        <v>0</v>
      </c>
      <c r="X116">
        <v>2</v>
      </c>
      <c r="Z116">
        <v>0</v>
      </c>
      <c r="AA116">
        <v>9</v>
      </c>
      <c r="AB116">
        <v>3</v>
      </c>
      <c r="AC116">
        <v>0</v>
      </c>
      <c r="AD116">
        <v>10</v>
      </c>
      <c r="AE116">
        <v>0</v>
      </c>
      <c r="AF116">
        <v>3</v>
      </c>
      <c r="AG116">
        <v>2</v>
      </c>
      <c r="AH116">
        <v>0</v>
      </c>
      <c r="AI116" t="s">
        <v>224</v>
      </c>
      <c r="AJ116">
        <v>45.653042999999997</v>
      </c>
      <c r="AK116" t="s">
        <v>220</v>
      </c>
      <c r="AL116">
        <v>-89.506580999999997</v>
      </c>
      <c r="AM116">
        <v>100</v>
      </c>
      <c r="AN116">
        <v>3600</v>
      </c>
      <c r="AO116" t="s">
        <v>118</v>
      </c>
      <c r="AP116">
        <v>4</v>
      </c>
      <c r="AQ116">
        <v>160</v>
      </c>
      <c r="AR116">
        <v>2048</v>
      </c>
      <c r="AZ116">
        <v>1200</v>
      </c>
      <c r="BA116">
        <v>1</v>
      </c>
      <c r="BB116" t="str">
        <f t="shared" si="9"/>
        <v xml:space="preserve">N690LS  </v>
      </c>
      <c r="BC116">
        <v>1</v>
      </c>
      <c r="BE116">
        <v>0</v>
      </c>
      <c r="BF116">
        <v>0</v>
      </c>
      <c r="BG116">
        <v>0</v>
      </c>
      <c r="BH116">
        <v>3625</v>
      </c>
      <c r="BI116">
        <v>1</v>
      </c>
      <c r="BJ116">
        <v>1</v>
      </c>
      <c r="BK116">
        <v>1</v>
      </c>
      <c r="BL116">
        <v>0</v>
      </c>
      <c r="BO116">
        <v>0</v>
      </c>
      <c r="BP116">
        <v>0</v>
      </c>
      <c r="BW116" t="str">
        <f>"13:51:27.089"</f>
        <v>13:51:27.089</v>
      </c>
      <c r="CJ116">
        <v>0</v>
      </c>
      <c r="CK116">
        <v>2</v>
      </c>
      <c r="CL116">
        <v>0</v>
      </c>
      <c r="CM116">
        <v>2</v>
      </c>
      <c r="CN116">
        <v>0</v>
      </c>
      <c r="CO116">
        <v>4</v>
      </c>
      <c r="CP116" t="s">
        <v>119</v>
      </c>
      <c r="CQ116">
        <v>193</v>
      </c>
      <c r="CR116">
        <v>1</v>
      </c>
      <c r="CW116">
        <v>12249487</v>
      </c>
      <c r="CY116">
        <v>1</v>
      </c>
      <c r="CZ116">
        <v>0</v>
      </c>
      <c r="DA116">
        <v>1</v>
      </c>
      <c r="DB116">
        <v>0</v>
      </c>
      <c r="DC116">
        <v>0</v>
      </c>
      <c r="DD116">
        <v>0</v>
      </c>
      <c r="DE116">
        <v>0</v>
      </c>
      <c r="DF116">
        <v>0</v>
      </c>
      <c r="DG116">
        <v>0</v>
      </c>
      <c r="DH116">
        <v>0</v>
      </c>
      <c r="DI116">
        <v>0</v>
      </c>
    </row>
    <row r="117" spans="1:113" x14ac:dyDescent="0.3">
      <c r="A117" t="str">
        <f>"09/28/2021 13:51:28.276"</f>
        <v>09/28/2021 13:51:28.276</v>
      </c>
      <c r="C117" t="str">
        <f t="shared" si="8"/>
        <v>FFDFD3C0</v>
      </c>
      <c r="D117" t="s">
        <v>113</v>
      </c>
      <c r="E117">
        <v>7</v>
      </c>
      <c r="H117">
        <v>170</v>
      </c>
      <c r="I117" t="s">
        <v>114</v>
      </c>
      <c r="J117" t="s">
        <v>115</v>
      </c>
      <c r="K117">
        <v>0</v>
      </c>
      <c r="L117">
        <v>3</v>
      </c>
      <c r="M117">
        <v>0</v>
      </c>
      <c r="N117">
        <v>2</v>
      </c>
      <c r="O117">
        <v>1</v>
      </c>
      <c r="P117">
        <v>0</v>
      </c>
      <c r="Q117">
        <v>0</v>
      </c>
      <c r="S117" t="str">
        <f>"13:51:28.078"</f>
        <v>13:51:28.078</v>
      </c>
      <c r="T117" t="str">
        <f>"13:51:27.578"</f>
        <v>13:51:27.578</v>
      </c>
      <c r="U117" t="str">
        <f t="shared" si="7"/>
        <v>A92BC1</v>
      </c>
      <c r="V117">
        <v>0</v>
      </c>
      <c r="W117">
        <v>0</v>
      </c>
      <c r="X117">
        <v>2</v>
      </c>
      <c r="Z117">
        <v>0</v>
      </c>
      <c r="AA117">
        <v>9</v>
      </c>
      <c r="AB117">
        <v>3</v>
      </c>
      <c r="AC117">
        <v>0</v>
      </c>
      <c r="AD117">
        <v>10</v>
      </c>
      <c r="AE117">
        <v>0</v>
      </c>
      <c r="AF117">
        <v>3</v>
      </c>
      <c r="AG117">
        <v>2</v>
      </c>
      <c r="AH117">
        <v>0</v>
      </c>
      <c r="AI117" t="s">
        <v>225</v>
      </c>
      <c r="AJ117">
        <v>45.653771999999996</v>
      </c>
      <c r="AK117" t="s">
        <v>226</v>
      </c>
      <c r="AL117">
        <v>-89.506516000000005</v>
      </c>
      <c r="AM117">
        <v>100</v>
      </c>
      <c r="AN117">
        <v>3600</v>
      </c>
      <c r="AO117" t="s">
        <v>118</v>
      </c>
      <c r="AP117">
        <v>10</v>
      </c>
      <c r="AQ117">
        <v>160</v>
      </c>
      <c r="AR117">
        <v>2112</v>
      </c>
      <c r="AZ117">
        <v>1200</v>
      </c>
      <c r="BA117">
        <v>1</v>
      </c>
      <c r="BB117" t="str">
        <f t="shared" si="9"/>
        <v xml:space="preserve">N690LS  </v>
      </c>
      <c r="BC117">
        <v>1</v>
      </c>
      <c r="BE117">
        <v>0</v>
      </c>
      <c r="BF117">
        <v>0</v>
      </c>
      <c r="BG117">
        <v>0</v>
      </c>
      <c r="BH117">
        <v>3675</v>
      </c>
      <c r="BI117">
        <v>1</v>
      </c>
      <c r="BJ117">
        <v>1</v>
      </c>
      <c r="BK117">
        <v>1</v>
      </c>
      <c r="BL117">
        <v>0</v>
      </c>
      <c r="BO117">
        <v>0</v>
      </c>
      <c r="BP117">
        <v>0</v>
      </c>
      <c r="BW117" t="str">
        <f>"13:51:28.085"</f>
        <v>13:51:28.085</v>
      </c>
      <c r="CJ117">
        <v>0</v>
      </c>
      <c r="CK117">
        <v>2</v>
      </c>
      <c r="CL117">
        <v>0</v>
      </c>
      <c r="CM117">
        <v>2</v>
      </c>
      <c r="CN117">
        <v>0</v>
      </c>
      <c r="CO117">
        <v>7</v>
      </c>
      <c r="CP117" t="s">
        <v>119</v>
      </c>
      <c r="CQ117">
        <v>197</v>
      </c>
      <c r="CR117">
        <v>2</v>
      </c>
      <c r="CW117">
        <v>2142262</v>
      </c>
      <c r="CY117">
        <v>1</v>
      </c>
      <c r="CZ117">
        <v>0</v>
      </c>
      <c r="DA117">
        <v>0</v>
      </c>
      <c r="DB117">
        <v>0</v>
      </c>
      <c r="DC117">
        <v>0</v>
      </c>
      <c r="DD117">
        <v>0</v>
      </c>
      <c r="DE117">
        <v>0</v>
      </c>
      <c r="DF117">
        <v>0</v>
      </c>
      <c r="DG117">
        <v>0</v>
      </c>
      <c r="DH117">
        <v>0</v>
      </c>
      <c r="DI117">
        <v>0</v>
      </c>
    </row>
    <row r="118" spans="1:113" x14ac:dyDescent="0.3">
      <c r="A118" t="str">
        <f>"09/28/2021 13:51:28.323"</f>
        <v>09/28/2021 13:51:28.323</v>
      </c>
      <c r="C118" t="str">
        <f t="shared" si="8"/>
        <v>FFDFD3C0</v>
      </c>
      <c r="D118" t="s">
        <v>120</v>
      </c>
      <c r="E118">
        <v>12</v>
      </c>
      <c r="F118">
        <v>1012</v>
      </c>
      <c r="G118" t="s">
        <v>114</v>
      </c>
      <c r="J118" t="s">
        <v>121</v>
      </c>
      <c r="K118">
        <v>0</v>
      </c>
      <c r="L118">
        <v>3</v>
      </c>
      <c r="M118">
        <v>0</v>
      </c>
      <c r="N118">
        <v>2</v>
      </c>
      <c r="O118">
        <v>1</v>
      </c>
      <c r="P118">
        <v>0</v>
      </c>
      <c r="Q118">
        <v>0</v>
      </c>
      <c r="S118" t="str">
        <f>"13:51:28.078"</f>
        <v>13:51:28.078</v>
      </c>
      <c r="T118" t="str">
        <f>"13:51:27.578"</f>
        <v>13:51:27.578</v>
      </c>
      <c r="U118" t="str">
        <f t="shared" si="7"/>
        <v>A92BC1</v>
      </c>
      <c r="V118">
        <v>0</v>
      </c>
      <c r="W118">
        <v>0</v>
      </c>
      <c r="X118">
        <v>2</v>
      </c>
      <c r="Z118">
        <v>0</v>
      </c>
      <c r="AA118">
        <v>9</v>
      </c>
      <c r="AB118">
        <v>3</v>
      </c>
      <c r="AC118">
        <v>0</v>
      </c>
      <c r="AD118">
        <v>10</v>
      </c>
      <c r="AE118">
        <v>0</v>
      </c>
      <c r="AF118">
        <v>3</v>
      </c>
      <c r="AG118">
        <v>2</v>
      </c>
      <c r="AH118">
        <v>0</v>
      </c>
      <c r="AI118" t="s">
        <v>225</v>
      </c>
      <c r="AJ118">
        <v>45.653771999999996</v>
      </c>
      <c r="AK118" t="s">
        <v>226</v>
      </c>
      <c r="AL118">
        <v>-89.506516000000005</v>
      </c>
      <c r="AM118">
        <v>100</v>
      </c>
      <c r="AN118">
        <v>3600</v>
      </c>
      <c r="AO118" t="s">
        <v>118</v>
      </c>
      <c r="AP118">
        <v>10</v>
      </c>
      <c r="AQ118">
        <v>160</v>
      </c>
      <c r="AR118">
        <v>2112</v>
      </c>
      <c r="AZ118">
        <v>1200</v>
      </c>
      <c r="BA118">
        <v>1</v>
      </c>
      <c r="BB118" t="str">
        <f t="shared" si="9"/>
        <v xml:space="preserve">N690LS  </v>
      </c>
      <c r="BC118">
        <v>1</v>
      </c>
      <c r="BE118">
        <v>0</v>
      </c>
      <c r="BF118">
        <v>0</v>
      </c>
      <c r="BG118">
        <v>0</v>
      </c>
      <c r="BH118">
        <v>3675</v>
      </c>
      <c r="BI118">
        <v>1</v>
      </c>
      <c r="BJ118">
        <v>1</v>
      </c>
      <c r="BK118">
        <v>1</v>
      </c>
      <c r="BL118">
        <v>0</v>
      </c>
      <c r="BO118">
        <v>0</v>
      </c>
      <c r="BP118">
        <v>0</v>
      </c>
      <c r="BW118" t="str">
        <f>"13:51:28.085"</f>
        <v>13:51:28.085</v>
      </c>
      <c r="CJ118">
        <v>0</v>
      </c>
      <c r="CK118">
        <v>2</v>
      </c>
      <c r="CL118">
        <v>0</v>
      </c>
      <c r="CM118">
        <v>2</v>
      </c>
      <c r="CN118">
        <v>0</v>
      </c>
      <c r="CO118">
        <v>7</v>
      </c>
      <c r="CP118" t="s">
        <v>119</v>
      </c>
      <c r="CQ118">
        <v>197</v>
      </c>
      <c r="CR118">
        <v>2</v>
      </c>
      <c r="CW118">
        <v>2142262</v>
      </c>
      <c r="CY118">
        <v>1</v>
      </c>
      <c r="CZ118">
        <v>0</v>
      </c>
      <c r="DA118">
        <v>1</v>
      </c>
      <c r="DB118">
        <v>0</v>
      </c>
      <c r="DC118">
        <v>0</v>
      </c>
      <c r="DD118">
        <v>0</v>
      </c>
      <c r="DE118">
        <v>0</v>
      </c>
      <c r="DF118">
        <v>0</v>
      </c>
      <c r="DG118">
        <v>0</v>
      </c>
      <c r="DH118">
        <v>0</v>
      </c>
      <c r="DI118">
        <v>0</v>
      </c>
    </row>
    <row r="119" spans="1:113" x14ac:dyDescent="0.3">
      <c r="A119" t="str">
        <f>"09/28/2021 13:51:29.166"</f>
        <v>09/28/2021 13:51:29.166</v>
      </c>
      <c r="C119" t="str">
        <f t="shared" si="8"/>
        <v>FFDFD3C0</v>
      </c>
      <c r="D119" t="s">
        <v>120</v>
      </c>
      <c r="E119">
        <v>12</v>
      </c>
      <c r="F119">
        <v>1012</v>
      </c>
      <c r="G119" t="s">
        <v>114</v>
      </c>
      <c r="J119" t="s">
        <v>121</v>
      </c>
      <c r="K119">
        <v>0</v>
      </c>
      <c r="L119">
        <v>3</v>
      </c>
      <c r="M119">
        <v>0</v>
      </c>
      <c r="N119">
        <v>2</v>
      </c>
      <c r="O119">
        <v>1</v>
      </c>
      <c r="P119">
        <v>0</v>
      </c>
      <c r="Q119">
        <v>0</v>
      </c>
      <c r="S119" t="str">
        <f>"13:51:28.969"</f>
        <v>13:51:28.969</v>
      </c>
      <c r="T119" t="str">
        <f>"13:51:28.569"</f>
        <v>13:51:28.569</v>
      </c>
      <c r="U119" t="str">
        <f t="shared" si="7"/>
        <v>A92BC1</v>
      </c>
      <c r="V119">
        <v>0</v>
      </c>
      <c r="W119">
        <v>0</v>
      </c>
      <c r="X119">
        <v>2</v>
      </c>
      <c r="Z119">
        <v>0</v>
      </c>
      <c r="AA119">
        <v>9</v>
      </c>
      <c r="AB119">
        <v>3</v>
      </c>
      <c r="AC119">
        <v>0</v>
      </c>
      <c r="AD119">
        <v>10</v>
      </c>
      <c r="AE119">
        <v>0</v>
      </c>
      <c r="AF119">
        <v>3</v>
      </c>
      <c r="AG119">
        <v>2</v>
      </c>
      <c r="AH119">
        <v>0</v>
      </c>
      <c r="AI119" t="s">
        <v>227</v>
      </c>
      <c r="AJ119">
        <v>45.654415999999998</v>
      </c>
      <c r="AK119" t="s">
        <v>228</v>
      </c>
      <c r="AL119">
        <v>-89.506409000000005</v>
      </c>
      <c r="AM119">
        <v>100</v>
      </c>
      <c r="AN119">
        <v>3700</v>
      </c>
      <c r="AO119" t="s">
        <v>118</v>
      </c>
      <c r="AP119">
        <v>17</v>
      </c>
      <c r="AQ119">
        <v>159</v>
      </c>
      <c r="AR119">
        <v>2176</v>
      </c>
      <c r="AZ119">
        <v>1200</v>
      </c>
      <c r="BA119">
        <v>1</v>
      </c>
      <c r="BB119" t="str">
        <f t="shared" si="9"/>
        <v xml:space="preserve">N690LS  </v>
      </c>
      <c r="BC119">
        <v>1</v>
      </c>
      <c r="BE119">
        <v>0</v>
      </c>
      <c r="BF119">
        <v>0</v>
      </c>
      <c r="BG119">
        <v>0</v>
      </c>
      <c r="BH119">
        <v>3700</v>
      </c>
      <c r="BI119">
        <v>1</v>
      </c>
      <c r="BJ119">
        <v>1</v>
      </c>
      <c r="BK119">
        <v>1</v>
      </c>
      <c r="BL119">
        <v>0</v>
      </c>
      <c r="BO119">
        <v>0</v>
      </c>
      <c r="BP119">
        <v>0</v>
      </c>
      <c r="BW119" t="str">
        <f>"13:51:28.975"</f>
        <v>13:51:28.975</v>
      </c>
      <c r="CJ119">
        <v>0</v>
      </c>
      <c r="CK119">
        <v>2</v>
      </c>
      <c r="CL119">
        <v>0</v>
      </c>
      <c r="CM119">
        <v>2</v>
      </c>
      <c r="CN119">
        <v>0</v>
      </c>
      <c r="CO119">
        <v>3</v>
      </c>
      <c r="CP119" t="s">
        <v>119</v>
      </c>
      <c r="CQ119">
        <v>193</v>
      </c>
      <c r="CR119">
        <v>1</v>
      </c>
      <c r="CW119">
        <v>12250165</v>
      </c>
      <c r="CY119">
        <v>1</v>
      </c>
      <c r="CZ119">
        <v>0</v>
      </c>
      <c r="DA119">
        <v>0</v>
      </c>
      <c r="DB119">
        <v>0</v>
      </c>
      <c r="DC119">
        <v>0</v>
      </c>
      <c r="DD119">
        <v>0</v>
      </c>
      <c r="DE119">
        <v>0</v>
      </c>
      <c r="DF119">
        <v>0</v>
      </c>
      <c r="DG119">
        <v>0</v>
      </c>
      <c r="DH119">
        <v>0</v>
      </c>
      <c r="DI119">
        <v>0</v>
      </c>
    </row>
    <row r="120" spans="1:113" x14ac:dyDescent="0.3">
      <c r="A120" t="str">
        <f>"09/28/2021 13:51:29.182"</f>
        <v>09/28/2021 13:51:29.182</v>
      </c>
      <c r="C120" t="str">
        <f t="shared" si="8"/>
        <v>FFDFD3C0</v>
      </c>
      <c r="D120" t="s">
        <v>113</v>
      </c>
      <c r="E120">
        <v>7</v>
      </c>
      <c r="H120">
        <v>170</v>
      </c>
      <c r="I120" t="s">
        <v>114</v>
      </c>
      <c r="J120" t="s">
        <v>115</v>
      </c>
      <c r="K120">
        <v>0</v>
      </c>
      <c r="L120">
        <v>3</v>
      </c>
      <c r="M120">
        <v>0</v>
      </c>
      <c r="N120">
        <v>2</v>
      </c>
      <c r="O120">
        <v>1</v>
      </c>
      <c r="P120">
        <v>0</v>
      </c>
      <c r="Q120">
        <v>0</v>
      </c>
      <c r="S120" t="str">
        <f>"13:51:28.969"</f>
        <v>13:51:28.969</v>
      </c>
      <c r="T120" t="str">
        <f>"13:51:28.569"</f>
        <v>13:51:28.569</v>
      </c>
      <c r="U120" t="str">
        <f t="shared" si="7"/>
        <v>A92BC1</v>
      </c>
      <c r="V120">
        <v>0</v>
      </c>
      <c r="W120">
        <v>0</v>
      </c>
      <c r="X120">
        <v>2</v>
      </c>
      <c r="Z120">
        <v>0</v>
      </c>
      <c r="AA120">
        <v>9</v>
      </c>
      <c r="AB120">
        <v>3</v>
      </c>
      <c r="AC120">
        <v>0</v>
      </c>
      <c r="AD120">
        <v>10</v>
      </c>
      <c r="AE120">
        <v>0</v>
      </c>
      <c r="AF120">
        <v>3</v>
      </c>
      <c r="AG120">
        <v>2</v>
      </c>
      <c r="AH120">
        <v>0</v>
      </c>
      <c r="AI120" t="s">
        <v>227</v>
      </c>
      <c r="AJ120">
        <v>45.654415999999998</v>
      </c>
      <c r="AK120" t="s">
        <v>228</v>
      </c>
      <c r="AL120">
        <v>-89.506409000000005</v>
      </c>
      <c r="AM120">
        <v>100</v>
      </c>
      <c r="AN120">
        <v>3700</v>
      </c>
      <c r="AO120" t="s">
        <v>118</v>
      </c>
      <c r="AP120">
        <v>17</v>
      </c>
      <c r="AQ120">
        <v>159</v>
      </c>
      <c r="AR120">
        <v>2176</v>
      </c>
      <c r="AZ120">
        <v>1200</v>
      </c>
      <c r="BA120">
        <v>1</v>
      </c>
      <c r="BB120" t="str">
        <f t="shared" si="9"/>
        <v xml:space="preserve">N690LS  </v>
      </c>
      <c r="BC120">
        <v>1</v>
      </c>
      <c r="BE120">
        <v>0</v>
      </c>
      <c r="BF120">
        <v>0</v>
      </c>
      <c r="BG120">
        <v>0</v>
      </c>
      <c r="BH120">
        <v>3700</v>
      </c>
      <c r="BI120">
        <v>1</v>
      </c>
      <c r="BJ120">
        <v>1</v>
      </c>
      <c r="BK120">
        <v>1</v>
      </c>
      <c r="BL120">
        <v>0</v>
      </c>
      <c r="BO120">
        <v>0</v>
      </c>
      <c r="BP120">
        <v>0</v>
      </c>
      <c r="BW120" t="str">
        <f>"13:51:28.975"</f>
        <v>13:51:28.975</v>
      </c>
      <c r="CJ120">
        <v>0</v>
      </c>
      <c r="CK120">
        <v>2</v>
      </c>
      <c r="CL120">
        <v>0</v>
      </c>
      <c r="CM120">
        <v>2</v>
      </c>
      <c r="CN120">
        <v>0</v>
      </c>
      <c r="CO120">
        <v>3</v>
      </c>
      <c r="CP120" t="s">
        <v>119</v>
      </c>
      <c r="CQ120">
        <v>193</v>
      </c>
      <c r="CR120">
        <v>1</v>
      </c>
      <c r="CW120">
        <v>12250165</v>
      </c>
      <c r="CY120">
        <v>1</v>
      </c>
      <c r="CZ120">
        <v>0</v>
      </c>
      <c r="DA120">
        <v>1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</row>
    <row r="121" spans="1:113" x14ac:dyDescent="0.3">
      <c r="A121" t="str">
        <f>"09/28/2021 13:51:30.245"</f>
        <v>09/28/2021 13:51:30.245</v>
      </c>
      <c r="C121" t="str">
        <f t="shared" si="8"/>
        <v>FFDFD3C0</v>
      </c>
      <c r="D121" t="s">
        <v>113</v>
      </c>
      <c r="E121">
        <v>7</v>
      </c>
      <c r="H121">
        <v>170</v>
      </c>
      <c r="I121" t="s">
        <v>114</v>
      </c>
      <c r="J121" t="s">
        <v>115</v>
      </c>
      <c r="K121">
        <v>0</v>
      </c>
      <c r="L121">
        <v>3</v>
      </c>
      <c r="M121">
        <v>0</v>
      </c>
      <c r="N121">
        <v>2</v>
      </c>
      <c r="O121">
        <v>1</v>
      </c>
      <c r="P121">
        <v>0</v>
      </c>
      <c r="Q121">
        <v>0</v>
      </c>
      <c r="S121" t="str">
        <f>"13:51:30.055"</f>
        <v>13:51:30.055</v>
      </c>
      <c r="T121" t="str">
        <f>"13:51:29.555"</f>
        <v>13:51:29.555</v>
      </c>
      <c r="U121" t="str">
        <f t="shared" si="7"/>
        <v>A92BC1</v>
      </c>
      <c r="V121">
        <v>0</v>
      </c>
      <c r="W121">
        <v>0</v>
      </c>
      <c r="X121">
        <v>2</v>
      </c>
      <c r="Z121">
        <v>0</v>
      </c>
      <c r="AA121">
        <v>9</v>
      </c>
      <c r="AB121">
        <v>3</v>
      </c>
      <c r="AC121">
        <v>0</v>
      </c>
      <c r="AD121">
        <v>10</v>
      </c>
      <c r="AE121">
        <v>0</v>
      </c>
      <c r="AF121">
        <v>3</v>
      </c>
      <c r="AG121">
        <v>2</v>
      </c>
      <c r="AH121">
        <v>0</v>
      </c>
      <c r="AI121" t="s">
        <v>229</v>
      </c>
      <c r="AJ121">
        <v>45.655231000000001</v>
      </c>
      <c r="AK121" t="s">
        <v>208</v>
      </c>
      <c r="AL121">
        <v>-89.506237999999996</v>
      </c>
      <c r="AM121">
        <v>100</v>
      </c>
      <c r="AN121">
        <v>3700</v>
      </c>
      <c r="AO121" t="s">
        <v>118</v>
      </c>
      <c r="AP121">
        <v>24</v>
      </c>
      <c r="AQ121">
        <v>158</v>
      </c>
      <c r="AR121">
        <v>2304</v>
      </c>
      <c r="AZ121">
        <v>1200</v>
      </c>
      <c r="BA121">
        <v>1</v>
      </c>
      <c r="BB121" t="str">
        <f t="shared" si="9"/>
        <v xml:space="preserve">N690LS  </v>
      </c>
      <c r="BC121">
        <v>1</v>
      </c>
      <c r="BE121">
        <v>0</v>
      </c>
      <c r="BF121">
        <v>0</v>
      </c>
      <c r="BG121">
        <v>0</v>
      </c>
      <c r="BH121">
        <v>3750</v>
      </c>
      <c r="BI121">
        <v>1</v>
      </c>
      <c r="BJ121">
        <v>1</v>
      </c>
      <c r="BK121">
        <v>1</v>
      </c>
      <c r="BL121">
        <v>0</v>
      </c>
      <c r="BO121">
        <v>0</v>
      </c>
      <c r="BP121">
        <v>0</v>
      </c>
      <c r="BW121" t="str">
        <f>"13:51:30.059"</f>
        <v>13:51:30.059</v>
      </c>
      <c r="CJ121">
        <v>0</v>
      </c>
      <c r="CK121">
        <v>2</v>
      </c>
      <c r="CL121">
        <v>0</v>
      </c>
      <c r="CM121">
        <v>2</v>
      </c>
      <c r="CN121">
        <v>0</v>
      </c>
      <c r="CO121">
        <v>5</v>
      </c>
      <c r="CP121" t="s">
        <v>119</v>
      </c>
      <c r="CQ121">
        <v>193</v>
      </c>
      <c r="CR121">
        <v>1</v>
      </c>
      <c r="CW121">
        <v>12250575</v>
      </c>
      <c r="CY121">
        <v>1</v>
      </c>
      <c r="CZ121">
        <v>0</v>
      </c>
      <c r="DA121">
        <v>0</v>
      </c>
      <c r="DB121">
        <v>0</v>
      </c>
      <c r="DC121">
        <v>0</v>
      </c>
      <c r="DD121">
        <v>0</v>
      </c>
      <c r="DE121">
        <v>0</v>
      </c>
      <c r="DF121">
        <v>0</v>
      </c>
      <c r="DG121">
        <v>0</v>
      </c>
      <c r="DH121">
        <v>0</v>
      </c>
      <c r="DI121">
        <v>0</v>
      </c>
    </row>
    <row r="122" spans="1:113" x14ac:dyDescent="0.3">
      <c r="A122" t="str">
        <f>"09/28/2021 13:51:30.276"</f>
        <v>09/28/2021 13:51:30.276</v>
      </c>
      <c r="C122" t="str">
        <f t="shared" si="8"/>
        <v>FFDFD3C0</v>
      </c>
      <c r="D122" t="s">
        <v>120</v>
      </c>
      <c r="E122">
        <v>12</v>
      </c>
      <c r="F122">
        <v>1012</v>
      </c>
      <c r="G122" t="s">
        <v>114</v>
      </c>
      <c r="J122" t="s">
        <v>121</v>
      </c>
      <c r="K122">
        <v>0</v>
      </c>
      <c r="L122">
        <v>3</v>
      </c>
      <c r="M122">
        <v>0</v>
      </c>
      <c r="N122">
        <v>2</v>
      </c>
      <c r="O122">
        <v>1</v>
      </c>
      <c r="P122">
        <v>0</v>
      </c>
      <c r="Q122">
        <v>0</v>
      </c>
      <c r="S122" t="str">
        <f>"13:51:30.055"</f>
        <v>13:51:30.055</v>
      </c>
      <c r="T122" t="str">
        <f>"13:51:29.555"</f>
        <v>13:51:29.555</v>
      </c>
      <c r="U122" t="str">
        <f t="shared" si="7"/>
        <v>A92BC1</v>
      </c>
      <c r="V122">
        <v>0</v>
      </c>
      <c r="W122">
        <v>0</v>
      </c>
      <c r="X122">
        <v>2</v>
      </c>
      <c r="Z122">
        <v>0</v>
      </c>
      <c r="AA122">
        <v>9</v>
      </c>
      <c r="AB122">
        <v>3</v>
      </c>
      <c r="AC122">
        <v>0</v>
      </c>
      <c r="AD122">
        <v>10</v>
      </c>
      <c r="AE122">
        <v>0</v>
      </c>
      <c r="AF122">
        <v>3</v>
      </c>
      <c r="AG122">
        <v>2</v>
      </c>
      <c r="AH122">
        <v>0</v>
      </c>
      <c r="AI122" t="s">
        <v>229</v>
      </c>
      <c r="AJ122">
        <v>45.655231000000001</v>
      </c>
      <c r="AK122" t="s">
        <v>208</v>
      </c>
      <c r="AL122">
        <v>-89.506237999999996</v>
      </c>
      <c r="AM122">
        <v>100</v>
      </c>
      <c r="AN122">
        <v>3700</v>
      </c>
      <c r="AO122" t="s">
        <v>118</v>
      </c>
      <c r="AP122">
        <v>24</v>
      </c>
      <c r="AQ122">
        <v>158</v>
      </c>
      <c r="AR122">
        <v>2304</v>
      </c>
      <c r="AZ122">
        <v>1200</v>
      </c>
      <c r="BA122">
        <v>1</v>
      </c>
      <c r="BB122" t="str">
        <f t="shared" si="9"/>
        <v xml:space="preserve">N690LS  </v>
      </c>
      <c r="BC122">
        <v>1</v>
      </c>
      <c r="BE122">
        <v>0</v>
      </c>
      <c r="BF122">
        <v>0</v>
      </c>
      <c r="BG122">
        <v>0</v>
      </c>
      <c r="BH122">
        <v>3750</v>
      </c>
      <c r="BI122">
        <v>1</v>
      </c>
      <c r="BJ122">
        <v>1</v>
      </c>
      <c r="BK122">
        <v>1</v>
      </c>
      <c r="BL122">
        <v>0</v>
      </c>
      <c r="BO122">
        <v>0</v>
      </c>
      <c r="BP122">
        <v>0</v>
      </c>
      <c r="BW122" t="str">
        <f>"13:51:30.059"</f>
        <v>13:51:30.059</v>
      </c>
      <c r="CJ122">
        <v>0</v>
      </c>
      <c r="CK122">
        <v>2</v>
      </c>
      <c r="CL122">
        <v>0</v>
      </c>
      <c r="CM122">
        <v>2</v>
      </c>
      <c r="CN122">
        <v>0</v>
      </c>
      <c r="CO122">
        <v>5</v>
      </c>
      <c r="CP122" t="s">
        <v>119</v>
      </c>
      <c r="CQ122">
        <v>193</v>
      </c>
      <c r="CR122">
        <v>1</v>
      </c>
      <c r="CW122">
        <v>12250575</v>
      </c>
      <c r="CY122">
        <v>1</v>
      </c>
      <c r="CZ122">
        <v>0</v>
      </c>
      <c r="DA122">
        <v>1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</row>
    <row r="123" spans="1:113" x14ac:dyDescent="0.3">
      <c r="A123" t="str">
        <f>"09/28/2021 13:51:31.276"</f>
        <v>09/28/2021 13:51:31.276</v>
      </c>
      <c r="C123" t="str">
        <f t="shared" si="8"/>
        <v>FFDFD3C0</v>
      </c>
      <c r="D123" t="s">
        <v>113</v>
      </c>
      <c r="E123">
        <v>7</v>
      </c>
      <c r="H123">
        <v>170</v>
      </c>
      <c r="I123" t="s">
        <v>114</v>
      </c>
      <c r="J123" t="s">
        <v>115</v>
      </c>
      <c r="K123">
        <v>0</v>
      </c>
      <c r="L123">
        <v>3</v>
      </c>
      <c r="M123">
        <v>0</v>
      </c>
      <c r="N123">
        <v>2</v>
      </c>
      <c r="O123">
        <v>1</v>
      </c>
      <c r="P123">
        <v>0</v>
      </c>
      <c r="Q123">
        <v>0</v>
      </c>
      <c r="S123" t="str">
        <f>"13:51:31.047"</f>
        <v>13:51:31.047</v>
      </c>
      <c r="T123" t="str">
        <f>"13:51:30.647"</f>
        <v>13:51:30.647</v>
      </c>
      <c r="U123" t="str">
        <f t="shared" si="7"/>
        <v>A92BC1</v>
      </c>
      <c r="V123">
        <v>0</v>
      </c>
      <c r="W123">
        <v>0</v>
      </c>
      <c r="X123">
        <v>2</v>
      </c>
      <c r="Z123">
        <v>0</v>
      </c>
      <c r="AA123">
        <v>9</v>
      </c>
      <c r="AB123">
        <v>3</v>
      </c>
      <c r="AC123">
        <v>0</v>
      </c>
      <c r="AD123">
        <v>10</v>
      </c>
      <c r="AE123">
        <v>0</v>
      </c>
      <c r="AF123">
        <v>3</v>
      </c>
      <c r="AG123">
        <v>2</v>
      </c>
      <c r="AH123">
        <v>0</v>
      </c>
      <c r="AI123" t="s">
        <v>230</v>
      </c>
      <c r="AJ123">
        <v>45.655960999999998</v>
      </c>
      <c r="AK123" t="s">
        <v>202</v>
      </c>
      <c r="AL123">
        <v>-89.505959000000004</v>
      </c>
      <c r="AM123">
        <v>100</v>
      </c>
      <c r="AN123">
        <v>3700</v>
      </c>
      <c r="AO123" t="s">
        <v>118</v>
      </c>
      <c r="AP123">
        <v>30</v>
      </c>
      <c r="AQ123">
        <v>157</v>
      </c>
      <c r="AR123">
        <v>2368</v>
      </c>
      <c r="AZ123">
        <v>1200</v>
      </c>
      <c r="BA123">
        <v>1</v>
      </c>
      <c r="BB123" t="str">
        <f t="shared" si="9"/>
        <v xml:space="preserve">N690LS  </v>
      </c>
      <c r="BC123">
        <v>1</v>
      </c>
      <c r="BE123">
        <v>0</v>
      </c>
      <c r="BF123">
        <v>0</v>
      </c>
      <c r="BG123">
        <v>0</v>
      </c>
      <c r="BH123">
        <v>3775</v>
      </c>
      <c r="BI123">
        <v>1</v>
      </c>
      <c r="BJ123">
        <v>1</v>
      </c>
      <c r="BK123">
        <v>1</v>
      </c>
      <c r="BL123">
        <v>0</v>
      </c>
      <c r="BO123">
        <v>0</v>
      </c>
      <c r="BP123">
        <v>0</v>
      </c>
      <c r="BW123" t="str">
        <f>"13:51:31.050"</f>
        <v>13:51:31.050</v>
      </c>
      <c r="CJ123">
        <v>0</v>
      </c>
      <c r="CK123">
        <v>2</v>
      </c>
      <c r="CL123">
        <v>0</v>
      </c>
      <c r="CM123">
        <v>2</v>
      </c>
      <c r="CN123">
        <v>0</v>
      </c>
      <c r="CO123">
        <v>5</v>
      </c>
      <c r="CP123" t="s">
        <v>119</v>
      </c>
      <c r="CQ123">
        <v>193</v>
      </c>
      <c r="CR123">
        <v>1</v>
      </c>
      <c r="CW123">
        <v>12250949</v>
      </c>
      <c r="CY123">
        <v>1</v>
      </c>
      <c r="CZ123">
        <v>0</v>
      </c>
      <c r="DA123">
        <v>0</v>
      </c>
      <c r="DB123">
        <v>0</v>
      </c>
      <c r="DC123">
        <v>0</v>
      </c>
      <c r="DD123">
        <v>0</v>
      </c>
      <c r="DE123">
        <v>0</v>
      </c>
      <c r="DF123">
        <v>0</v>
      </c>
      <c r="DG123">
        <v>0</v>
      </c>
      <c r="DH123">
        <v>0</v>
      </c>
      <c r="DI123">
        <v>0</v>
      </c>
    </row>
    <row r="124" spans="1:113" x14ac:dyDescent="0.3">
      <c r="A124" t="str">
        <f>"09/28/2021 13:51:31.276"</f>
        <v>09/28/2021 13:51:31.276</v>
      </c>
      <c r="C124" t="str">
        <f t="shared" si="8"/>
        <v>FFDFD3C0</v>
      </c>
      <c r="D124" t="s">
        <v>120</v>
      </c>
      <c r="E124">
        <v>12</v>
      </c>
      <c r="F124">
        <v>1012</v>
      </c>
      <c r="G124" t="s">
        <v>114</v>
      </c>
      <c r="J124" t="s">
        <v>121</v>
      </c>
      <c r="K124">
        <v>0</v>
      </c>
      <c r="L124">
        <v>3</v>
      </c>
      <c r="M124">
        <v>0</v>
      </c>
      <c r="N124">
        <v>2</v>
      </c>
      <c r="O124">
        <v>1</v>
      </c>
      <c r="P124">
        <v>0</v>
      </c>
      <c r="Q124">
        <v>0</v>
      </c>
      <c r="S124" t="str">
        <f>"13:51:31.047"</f>
        <v>13:51:31.047</v>
      </c>
      <c r="T124" t="str">
        <f>"13:51:30.647"</f>
        <v>13:51:30.647</v>
      </c>
      <c r="U124" t="str">
        <f t="shared" si="7"/>
        <v>A92BC1</v>
      </c>
      <c r="V124">
        <v>0</v>
      </c>
      <c r="W124">
        <v>0</v>
      </c>
      <c r="X124">
        <v>2</v>
      </c>
      <c r="Z124">
        <v>0</v>
      </c>
      <c r="AA124">
        <v>9</v>
      </c>
      <c r="AB124">
        <v>3</v>
      </c>
      <c r="AC124">
        <v>0</v>
      </c>
      <c r="AD124">
        <v>10</v>
      </c>
      <c r="AE124">
        <v>0</v>
      </c>
      <c r="AF124">
        <v>3</v>
      </c>
      <c r="AG124">
        <v>2</v>
      </c>
      <c r="AH124">
        <v>0</v>
      </c>
      <c r="AI124" t="s">
        <v>230</v>
      </c>
      <c r="AJ124">
        <v>45.655960999999998</v>
      </c>
      <c r="AK124" t="s">
        <v>202</v>
      </c>
      <c r="AL124">
        <v>-89.505959000000004</v>
      </c>
      <c r="AM124">
        <v>100</v>
      </c>
      <c r="AN124">
        <v>3700</v>
      </c>
      <c r="AO124" t="s">
        <v>118</v>
      </c>
      <c r="AP124">
        <v>30</v>
      </c>
      <c r="AQ124">
        <v>157</v>
      </c>
      <c r="AR124">
        <v>2368</v>
      </c>
      <c r="AZ124">
        <v>1200</v>
      </c>
      <c r="BA124">
        <v>1</v>
      </c>
      <c r="BB124" t="str">
        <f t="shared" si="9"/>
        <v xml:space="preserve">N690LS  </v>
      </c>
      <c r="BC124">
        <v>1</v>
      </c>
      <c r="BE124">
        <v>0</v>
      </c>
      <c r="BF124">
        <v>0</v>
      </c>
      <c r="BG124">
        <v>0</v>
      </c>
      <c r="BH124">
        <v>3775</v>
      </c>
      <c r="BI124">
        <v>1</v>
      </c>
      <c r="BJ124">
        <v>1</v>
      </c>
      <c r="BK124">
        <v>1</v>
      </c>
      <c r="BL124">
        <v>0</v>
      </c>
      <c r="BO124">
        <v>0</v>
      </c>
      <c r="BP124">
        <v>0</v>
      </c>
      <c r="BW124" t="str">
        <f>"13:51:31.050"</f>
        <v>13:51:31.050</v>
      </c>
      <c r="CJ124">
        <v>0</v>
      </c>
      <c r="CK124">
        <v>2</v>
      </c>
      <c r="CL124">
        <v>0</v>
      </c>
      <c r="CM124">
        <v>2</v>
      </c>
      <c r="CN124">
        <v>0</v>
      </c>
      <c r="CO124">
        <v>5</v>
      </c>
      <c r="CP124" t="s">
        <v>119</v>
      </c>
      <c r="CQ124">
        <v>193</v>
      </c>
      <c r="CR124">
        <v>1</v>
      </c>
      <c r="CW124">
        <v>12250949</v>
      </c>
      <c r="CY124">
        <v>1</v>
      </c>
      <c r="CZ124">
        <v>0</v>
      </c>
      <c r="DA124">
        <v>1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</row>
    <row r="125" spans="1:113" x14ac:dyDescent="0.3">
      <c r="A125" t="str">
        <f>"09/28/2021 13:51:32.196"</f>
        <v>09/28/2021 13:51:32.196</v>
      </c>
      <c r="C125" t="str">
        <f t="shared" si="8"/>
        <v>FFDFD3C0</v>
      </c>
      <c r="D125" t="s">
        <v>120</v>
      </c>
      <c r="E125">
        <v>12</v>
      </c>
      <c r="F125">
        <v>1012</v>
      </c>
      <c r="G125" t="s">
        <v>114</v>
      </c>
      <c r="J125" t="s">
        <v>121</v>
      </c>
      <c r="K125">
        <v>0</v>
      </c>
      <c r="L125">
        <v>3</v>
      </c>
      <c r="M125">
        <v>0</v>
      </c>
      <c r="N125">
        <v>2</v>
      </c>
      <c r="O125">
        <v>1</v>
      </c>
      <c r="P125">
        <v>0</v>
      </c>
      <c r="Q125">
        <v>0</v>
      </c>
      <c r="S125" t="str">
        <f>"13:51:32.008"</f>
        <v>13:51:32.008</v>
      </c>
      <c r="T125" t="str">
        <f>"13:51:31.508"</f>
        <v>13:51:31.508</v>
      </c>
      <c r="U125" t="str">
        <f t="shared" si="7"/>
        <v>A92BC1</v>
      </c>
      <c r="V125">
        <v>0</v>
      </c>
      <c r="W125">
        <v>0</v>
      </c>
      <c r="X125">
        <v>2</v>
      </c>
      <c r="Z125">
        <v>0</v>
      </c>
      <c r="AA125">
        <v>9</v>
      </c>
      <c r="AB125">
        <v>3</v>
      </c>
      <c r="AC125">
        <v>0</v>
      </c>
      <c r="AD125">
        <v>10</v>
      </c>
      <c r="AE125">
        <v>0</v>
      </c>
      <c r="AF125">
        <v>3</v>
      </c>
      <c r="AG125">
        <v>2</v>
      </c>
      <c r="AH125">
        <v>0</v>
      </c>
      <c r="AI125" t="s">
        <v>231</v>
      </c>
      <c r="AJ125">
        <v>45.656626000000003</v>
      </c>
      <c r="AK125" t="s">
        <v>200</v>
      </c>
      <c r="AL125">
        <v>-89.505744000000007</v>
      </c>
      <c r="AM125">
        <v>100</v>
      </c>
      <c r="AN125">
        <v>3800</v>
      </c>
      <c r="AO125" t="s">
        <v>118</v>
      </c>
      <c r="AP125">
        <v>37</v>
      </c>
      <c r="AQ125">
        <v>156</v>
      </c>
      <c r="AR125">
        <v>2496</v>
      </c>
      <c r="AZ125">
        <v>1200</v>
      </c>
      <c r="BA125">
        <v>1</v>
      </c>
      <c r="BB125" t="str">
        <f t="shared" si="9"/>
        <v xml:space="preserve">N690LS  </v>
      </c>
      <c r="BC125">
        <v>1</v>
      </c>
      <c r="BE125">
        <v>0</v>
      </c>
      <c r="BF125">
        <v>0</v>
      </c>
      <c r="BG125">
        <v>0</v>
      </c>
      <c r="BH125">
        <v>3825</v>
      </c>
      <c r="BI125">
        <v>1</v>
      </c>
      <c r="BJ125">
        <v>1</v>
      </c>
      <c r="BK125">
        <v>1</v>
      </c>
      <c r="BL125">
        <v>0</v>
      </c>
      <c r="BO125">
        <v>0</v>
      </c>
      <c r="BP125">
        <v>0</v>
      </c>
      <c r="BW125" t="str">
        <f>"13:51:32.008"</f>
        <v>13:51:32.008</v>
      </c>
      <c r="CJ125">
        <v>0</v>
      </c>
      <c r="CK125">
        <v>2</v>
      </c>
      <c r="CL125">
        <v>0</v>
      </c>
      <c r="CM125">
        <v>2</v>
      </c>
      <c r="CN125">
        <v>0</v>
      </c>
      <c r="CO125">
        <v>7</v>
      </c>
      <c r="CP125" t="s">
        <v>119</v>
      </c>
      <c r="CQ125">
        <v>197</v>
      </c>
      <c r="CR125">
        <v>2</v>
      </c>
      <c r="CW125">
        <v>2145669</v>
      </c>
      <c r="CY125">
        <v>1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</row>
    <row r="126" spans="1:113" x14ac:dyDescent="0.3">
      <c r="A126" t="str">
        <f>"09/28/2021 13:51:32.274"</f>
        <v>09/28/2021 13:51:32.274</v>
      </c>
      <c r="C126" t="str">
        <f t="shared" si="8"/>
        <v>FFDFD3C0</v>
      </c>
      <c r="D126" t="s">
        <v>113</v>
      </c>
      <c r="E126">
        <v>7</v>
      </c>
      <c r="H126">
        <v>170</v>
      </c>
      <c r="I126" t="s">
        <v>114</v>
      </c>
      <c r="J126" t="s">
        <v>115</v>
      </c>
      <c r="K126">
        <v>0</v>
      </c>
      <c r="L126">
        <v>3</v>
      </c>
      <c r="M126">
        <v>0</v>
      </c>
      <c r="N126">
        <v>2</v>
      </c>
      <c r="O126">
        <v>1</v>
      </c>
      <c r="P126">
        <v>0</v>
      </c>
      <c r="Q126">
        <v>0</v>
      </c>
      <c r="S126" t="str">
        <f>"13:51:32.008"</f>
        <v>13:51:32.008</v>
      </c>
      <c r="T126" t="str">
        <f>"13:51:31.508"</f>
        <v>13:51:31.508</v>
      </c>
      <c r="U126" t="str">
        <f t="shared" si="7"/>
        <v>A92BC1</v>
      </c>
      <c r="V126">
        <v>0</v>
      </c>
      <c r="W126">
        <v>0</v>
      </c>
      <c r="X126">
        <v>2</v>
      </c>
      <c r="Z126">
        <v>0</v>
      </c>
      <c r="AA126">
        <v>9</v>
      </c>
      <c r="AB126">
        <v>3</v>
      </c>
      <c r="AC126">
        <v>0</v>
      </c>
      <c r="AD126">
        <v>10</v>
      </c>
      <c r="AE126">
        <v>0</v>
      </c>
      <c r="AF126">
        <v>3</v>
      </c>
      <c r="AG126">
        <v>2</v>
      </c>
      <c r="AH126">
        <v>0</v>
      </c>
      <c r="AI126" t="s">
        <v>231</v>
      </c>
      <c r="AJ126">
        <v>45.656626000000003</v>
      </c>
      <c r="AK126" t="s">
        <v>200</v>
      </c>
      <c r="AL126">
        <v>-89.505744000000007</v>
      </c>
      <c r="AM126">
        <v>100</v>
      </c>
      <c r="AN126">
        <v>3800</v>
      </c>
      <c r="AO126" t="s">
        <v>118</v>
      </c>
      <c r="AP126">
        <v>37</v>
      </c>
      <c r="AQ126">
        <v>156</v>
      </c>
      <c r="AR126">
        <v>2496</v>
      </c>
      <c r="AZ126">
        <v>1200</v>
      </c>
      <c r="BA126">
        <v>1</v>
      </c>
      <c r="BB126" t="str">
        <f t="shared" si="9"/>
        <v xml:space="preserve">N690LS  </v>
      </c>
      <c r="BC126">
        <v>1</v>
      </c>
      <c r="BE126">
        <v>0</v>
      </c>
      <c r="BF126">
        <v>0</v>
      </c>
      <c r="BG126">
        <v>0</v>
      </c>
      <c r="BH126">
        <v>3825</v>
      </c>
      <c r="BI126">
        <v>1</v>
      </c>
      <c r="BJ126">
        <v>1</v>
      </c>
      <c r="BK126">
        <v>1</v>
      </c>
      <c r="BL126">
        <v>0</v>
      </c>
      <c r="BO126">
        <v>0</v>
      </c>
      <c r="BP126">
        <v>0</v>
      </c>
      <c r="BW126" t="str">
        <f>"13:51:32.008"</f>
        <v>13:51:32.008</v>
      </c>
      <c r="CJ126">
        <v>0</v>
      </c>
      <c r="CK126">
        <v>2</v>
      </c>
      <c r="CL126">
        <v>0</v>
      </c>
      <c r="CM126">
        <v>2</v>
      </c>
      <c r="CN126">
        <v>0</v>
      </c>
      <c r="CO126">
        <v>7</v>
      </c>
      <c r="CP126" t="s">
        <v>119</v>
      </c>
      <c r="CQ126">
        <v>197</v>
      </c>
      <c r="CR126">
        <v>2</v>
      </c>
      <c r="CW126">
        <v>2145669</v>
      </c>
      <c r="CY126">
        <v>1</v>
      </c>
      <c r="CZ126">
        <v>0</v>
      </c>
      <c r="DA126">
        <v>1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</row>
    <row r="127" spans="1:113" x14ac:dyDescent="0.3">
      <c r="A127" t="str">
        <f>"09/28/2021 13:51:33.181"</f>
        <v>09/28/2021 13:51:33.181</v>
      </c>
      <c r="C127" t="str">
        <f t="shared" si="8"/>
        <v>FFDFD3C0</v>
      </c>
      <c r="D127" t="s">
        <v>113</v>
      </c>
      <c r="E127">
        <v>7</v>
      </c>
      <c r="H127">
        <v>170</v>
      </c>
      <c r="I127" t="s">
        <v>114</v>
      </c>
      <c r="J127" t="s">
        <v>115</v>
      </c>
      <c r="K127">
        <v>0</v>
      </c>
      <c r="L127">
        <v>3</v>
      </c>
      <c r="M127">
        <v>0</v>
      </c>
      <c r="N127">
        <v>2</v>
      </c>
      <c r="O127">
        <v>1</v>
      </c>
      <c r="P127">
        <v>0</v>
      </c>
      <c r="Q127">
        <v>0</v>
      </c>
      <c r="S127" t="str">
        <f>"13:51:32.969"</f>
        <v>13:51:32.969</v>
      </c>
      <c r="T127" t="str">
        <f>"13:51:32.469"</f>
        <v>13:51:32.469</v>
      </c>
      <c r="U127" t="str">
        <f t="shared" si="7"/>
        <v>A92BC1</v>
      </c>
      <c r="V127">
        <v>0</v>
      </c>
      <c r="W127">
        <v>0</v>
      </c>
      <c r="X127">
        <v>2</v>
      </c>
      <c r="Z127">
        <v>0</v>
      </c>
      <c r="AA127">
        <v>9</v>
      </c>
      <c r="AB127">
        <v>3</v>
      </c>
      <c r="AC127">
        <v>0</v>
      </c>
      <c r="AD127">
        <v>10</v>
      </c>
      <c r="AE127">
        <v>0</v>
      </c>
      <c r="AF127">
        <v>3</v>
      </c>
      <c r="AG127">
        <v>2</v>
      </c>
      <c r="AH127">
        <v>0</v>
      </c>
      <c r="AI127" t="s">
        <v>232</v>
      </c>
      <c r="AJ127">
        <v>45.657313000000002</v>
      </c>
      <c r="AK127" t="s">
        <v>233</v>
      </c>
      <c r="AL127">
        <v>-89.505486000000005</v>
      </c>
      <c r="AM127">
        <v>100</v>
      </c>
      <c r="AN127">
        <v>3800</v>
      </c>
      <c r="AO127" t="s">
        <v>118</v>
      </c>
      <c r="AP127">
        <v>42</v>
      </c>
      <c r="AQ127">
        <v>154</v>
      </c>
      <c r="AR127">
        <v>2560</v>
      </c>
      <c r="AZ127">
        <v>1200</v>
      </c>
      <c r="BA127">
        <v>1</v>
      </c>
      <c r="BB127" t="str">
        <f t="shared" si="9"/>
        <v xml:space="preserve">N690LS  </v>
      </c>
      <c r="BC127">
        <v>1</v>
      </c>
      <c r="BE127">
        <v>0</v>
      </c>
      <c r="BF127">
        <v>0</v>
      </c>
      <c r="BG127">
        <v>0</v>
      </c>
      <c r="BH127">
        <v>3850</v>
      </c>
      <c r="BI127">
        <v>1</v>
      </c>
      <c r="BJ127">
        <v>1</v>
      </c>
      <c r="BK127">
        <v>1</v>
      </c>
      <c r="BL127">
        <v>0</v>
      </c>
      <c r="BO127">
        <v>0</v>
      </c>
      <c r="BP127">
        <v>0</v>
      </c>
      <c r="BW127" t="str">
        <f>"13:51:32.971"</f>
        <v>13:51:32.971</v>
      </c>
      <c r="CJ127">
        <v>0</v>
      </c>
      <c r="CK127">
        <v>2</v>
      </c>
      <c r="CL127">
        <v>0</v>
      </c>
      <c r="CM127">
        <v>2</v>
      </c>
      <c r="CN127">
        <v>0</v>
      </c>
      <c r="CO127">
        <v>5</v>
      </c>
      <c r="CP127" t="s">
        <v>119</v>
      </c>
      <c r="CQ127">
        <v>193</v>
      </c>
      <c r="CR127">
        <v>1</v>
      </c>
      <c r="CW127">
        <v>12251743</v>
      </c>
      <c r="CY127">
        <v>1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</row>
    <row r="128" spans="1:113" x14ac:dyDescent="0.3">
      <c r="A128" t="str">
        <f>"09/28/2021 13:51:33.212"</f>
        <v>09/28/2021 13:51:33.212</v>
      </c>
      <c r="C128" t="str">
        <f t="shared" si="8"/>
        <v>FFDFD3C0</v>
      </c>
      <c r="D128" t="s">
        <v>120</v>
      </c>
      <c r="E128">
        <v>12</v>
      </c>
      <c r="F128">
        <v>1012</v>
      </c>
      <c r="G128" t="s">
        <v>114</v>
      </c>
      <c r="J128" t="s">
        <v>121</v>
      </c>
      <c r="K128">
        <v>0</v>
      </c>
      <c r="L128">
        <v>3</v>
      </c>
      <c r="M128">
        <v>0</v>
      </c>
      <c r="N128">
        <v>2</v>
      </c>
      <c r="O128">
        <v>1</v>
      </c>
      <c r="P128">
        <v>0</v>
      </c>
      <c r="Q128">
        <v>0</v>
      </c>
      <c r="S128" t="str">
        <f>"13:51:32.969"</f>
        <v>13:51:32.969</v>
      </c>
      <c r="T128" t="str">
        <f>"13:51:32.469"</f>
        <v>13:51:32.469</v>
      </c>
      <c r="U128" t="str">
        <f t="shared" si="7"/>
        <v>A92BC1</v>
      </c>
      <c r="V128">
        <v>0</v>
      </c>
      <c r="W128">
        <v>0</v>
      </c>
      <c r="X128">
        <v>2</v>
      </c>
      <c r="Z128">
        <v>0</v>
      </c>
      <c r="AA128">
        <v>9</v>
      </c>
      <c r="AB128">
        <v>3</v>
      </c>
      <c r="AC128">
        <v>0</v>
      </c>
      <c r="AD128">
        <v>10</v>
      </c>
      <c r="AE128">
        <v>0</v>
      </c>
      <c r="AF128">
        <v>3</v>
      </c>
      <c r="AG128">
        <v>2</v>
      </c>
      <c r="AH128">
        <v>0</v>
      </c>
      <c r="AI128" t="s">
        <v>232</v>
      </c>
      <c r="AJ128">
        <v>45.657313000000002</v>
      </c>
      <c r="AK128" t="s">
        <v>233</v>
      </c>
      <c r="AL128">
        <v>-89.505486000000005</v>
      </c>
      <c r="AM128">
        <v>100</v>
      </c>
      <c r="AN128">
        <v>3800</v>
      </c>
      <c r="AO128" t="s">
        <v>118</v>
      </c>
      <c r="AP128">
        <v>42</v>
      </c>
      <c r="AQ128">
        <v>154</v>
      </c>
      <c r="AR128">
        <v>2560</v>
      </c>
      <c r="AZ128">
        <v>1200</v>
      </c>
      <c r="BA128">
        <v>1</v>
      </c>
      <c r="BB128" t="str">
        <f t="shared" si="9"/>
        <v xml:space="preserve">N690LS  </v>
      </c>
      <c r="BC128">
        <v>1</v>
      </c>
      <c r="BE128">
        <v>0</v>
      </c>
      <c r="BF128">
        <v>0</v>
      </c>
      <c r="BG128">
        <v>0</v>
      </c>
      <c r="BH128">
        <v>3850</v>
      </c>
      <c r="BI128">
        <v>1</v>
      </c>
      <c r="BJ128">
        <v>1</v>
      </c>
      <c r="BK128">
        <v>1</v>
      </c>
      <c r="BL128">
        <v>0</v>
      </c>
      <c r="BO128">
        <v>0</v>
      </c>
      <c r="BP128">
        <v>0</v>
      </c>
      <c r="BW128" t="str">
        <f>"13:51:32.971"</f>
        <v>13:51:32.971</v>
      </c>
      <c r="CJ128">
        <v>0</v>
      </c>
      <c r="CK128">
        <v>2</v>
      </c>
      <c r="CL128">
        <v>0</v>
      </c>
      <c r="CM128">
        <v>2</v>
      </c>
      <c r="CN128">
        <v>0</v>
      </c>
      <c r="CO128">
        <v>5</v>
      </c>
      <c r="CP128" t="s">
        <v>119</v>
      </c>
      <c r="CQ128">
        <v>193</v>
      </c>
      <c r="CR128">
        <v>1</v>
      </c>
      <c r="CW128">
        <v>12251743</v>
      </c>
      <c r="CY128">
        <v>1</v>
      </c>
      <c r="CZ128">
        <v>0</v>
      </c>
      <c r="DA128">
        <v>1</v>
      </c>
      <c r="DB128">
        <v>0</v>
      </c>
      <c r="DC128">
        <v>0</v>
      </c>
      <c r="DD128">
        <v>0</v>
      </c>
      <c r="DE128">
        <v>0</v>
      </c>
      <c r="DF128">
        <v>0</v>
      </c>
      <c r="DG128">
        <v>0</v>
      </c>
      <c r="DH128">
        <v>0</v>
      </c>
      <c r="DI128">
        <v>0</v>
      </c>
    </row>
    <row r="129" spans="1:113" x14ac:dyDescent="0.3">
      <c r="A129" t="str">
        <f>"09/28/2021 13:51:34.307"</f>
        <v>09/28/2021 13:51:34.307</v>
      </c>
      <c r="C129" t="str">
        <f t="shared" si="8"/>
        <v>FFDFD3C0</v>
      </c>
      <c r="D129" t="s">
        <v>113</v>
      </c>
      <c r="E129">
        <v>7</v>
      </c>
      <c r="H129">
        <v>170</v>
      </c>
      <c r="I129" t="s">
        <v>114</v>
      </c>
      <c r="J129" t="s">
        <v>115</v>
      </c>
      <c r="K129">
        <v>0</v>
      </c>
      <c r="L129">
        <v>3</v>
      </c>
      <c r="M129">
        <v>0</v>
      </c>
      <c r="N129">
        <v>2</v>
      </c>
      <c r="O129">
        <v>1</v>
      </c>
      <c r="P129">
        <v>0</v>
      </c>
      <c r="Q129">
        <v>0</v>
      </c>
      <c r="S129" t="str">
        <f>"13:51:34.078"</f>
        <v>13:51:34.078</v>
      </c>
      <c r="T129" t="str">
        <f>"13:51:33.578"</f>
        <v>13:51:33.578</v>
      </c>
      <c r="U129" t="str">
        <f t="shared" si="7"/>
        <v>A92BC1</v>
      </c>
      <c r="V129">
        <v>0</v>
      </c>
      <c r="W129">
        <v>0</v>
      </c>
      <c r="X129">
        <v>2</v>
      </c>
      <c r="Z129">
        <v>0</v>
      </c>
      <c r="AA129">
        <v>9</v>
      </c>
      <c r="AB129">
        <v>3</v>
      </c>
      <c r="AC129">
        <v>0</v>
      </c>
      <c r="AD129">
        <v>10</v>
      </c>
      <c r="AE129">
        <v>0</v>
      </c>
      <c r="AF129">
        <v>3</v>
      </c>
      <c r="AG129">
        <v>2</v>
      </c>
      <c r="AH129">
        <v>0</v>
      </c>
      <c r="AI129" t="s">
        <v>234</v>
      </c>
      <c r="AJ129">
        <v>45.658064000000003</v>
      </c>
      <c r="AK129" t="s">
        <v>190</v>
      </c>
      <c r="AL129">
        <v>-89.505056999999994</v>
      </c>
      <c r="AM129">
        <v>100</v>
      </c>
      <c r="AN129">
        <v>3900</v>
      </c>
      <c r="AO129" t="s">
        <v>118</v>
      </c>
      <c r="AP129">
        <v>50</v>
      </c>
      <c r="AQ129">
        <v>151</v>
      </c>
      <c r="AR129">
        <v>2624</v>
      </c>
      <c r="AZ129">
        <v>1200</v>
      </c>
      <c r="BA129">
        <v>1</v>
      </c>
      <c r="BB129" t="str">
        <f t="shared" si="9"/>
        <v xml:space="preserve">N690LS  </v>
      </c>
      <c r="BC129">
        <v>1</v>
      </c>
      <c r="BE129">
        <v>0</v>
      </c>
      <c r="BF129">
        <v>0</v>
      </c>
      <c r="BG129">
        <v>0</v>
      </c>
      <c r="BH129">
        <v>3900</v>
      </c>
      <c r="BI129">
        <v>1</v>
      </c>
      <c r="BJ129">
        <v>1</v>
      </c>
      <c r="BK129">
        <v>1</v>
      </c>
      <c r="BL129">
        <v>0</v>
      </c>
      <c r="BO129">
        <v>0</v>
      </c>
      <c r="BP129">
        <v>0</v>
      </c>
      <c r="BW129" t="str">
        <f>"13:51:34.085"</f>
        <v>13:51:34.085</v>
      </c>
      <c r="CJ129">
        <v>0</v>
      </c>
      <c r="CK129">
        <v>2</v>
      </c>
      <c r="CL129">
        <v>0</v>
      </c>
      <c r="CM129">
        <v>2</v>
      </c>
      <c r="CN129">
        <v>0</v>
      </c>
      <c r="CO129">
        <v>6</v>
      </c>
      <c r="CP129" t="s">
        <v>119</v>
      </c>
      <c r="CQ129">
        <v>193</v>
      </c>
      <c r="CR129">
        <v>1</v>
      </c>
      <c r="CW129">
        <v>12252120</v>
      </c>
      <c r="CY129">
        <v>1</v>
      </c>
      <c r="CZ129">
        <v>0</v>
      </c>
      <c r="DA129">
        <v>0</v>
      </c>
      <c r="DB129">
        <v>0</v>
      </c>
      <c r="DC129">
        <v>0</v>
      </c>
      <c r="DD129">
        <v>0</v>
      </c>
      <c r="DE129">
        <v>0</v>
      </c>
      <c r="DF129">
        <v>0</v>
      </c>
      <c r="DG129">
        <v>0</v>
      </c>
      <c r="DH129">
        <v>0</v>
      </c>
      <c r="DI129">
        <v>0</v>
      </c>
    </row>
    <row r="130" spans="1:113" x14ac:dyDescent="0.3">
      <c r="A130" t="str">
        <f>"09/28/2021 13:51:34.323"</f>
        <v>09/28/2021 13:51:34.323</v>
      </c>
      <c r="C130" t="str">
        <f t="shared" si="8"/>
        <v>FFDFD3C0</v>
      </c>
      <c r="D130" t="s">
        <v>120</v>
      </c>
      <c r="E130">
        <v>12</v>
      </c>
      <c r="F130">
        <v>1012</v>
      </c>
      <c r="G130" t="s">
        <v>114</v>
      </c>
      <c r="J130" t="s">
        <v>121</v>
      </c>
      <c r="K130">
        <v>0</v>
      </c>
      <c r="L130">
        <v>3</v>
      </c>
      <c r="M130">
        <v>0</v>
      </c>
      <c r="N130">
        <v>2</v>
      </c>
      <c r="O130">
        <v>1</v>
      </c>
      <c r="P130">
        <v>0</v>
      </c>
      <c r="Q130">
        <v>0</v>
      </c>
      <c r="S130" t="str">
        <f>"13:51:34.078"</f>
        <v>13:51:34.078</v>
      </c>
      <c r="T130" t="str">
        <f>"13:51:33.578"</f>
        <v>13:51:33.578</v>
      </c>
      <c r="U130" t="str">
        <f t="shared" ref="U130:U193" si="10">"A92BC1"</f>
        <v>A92BC1</v>
      </c>
      <c r="V130">
        <v>0</v>
      </c>
      <c r="W130">
        <v>0</v>
      </c>
      <c r="X130">
        <v>2</v>
      </c>
      <c r="Z130">
        <v>0</v>
      </c>
      <c r="AA130">
        <v>9</v>
      </c>
      <c r="AB130">
        <v>3</v>
      </c>
      <c r="AC130">
        <v>0</v>
      </c>
      <c r="AD130">
        <v>10</v>
      </c>
      <c r="AE130">
        <v>0</v>
      </c>
      <c r="AF130">
        <v>3</v>
      </c>
      <c r="AG130">
        <v>2</v>
      </c>
      <c r="AH130">
        <v>0</v>
      </c>
      <c r="AI130" t="s">
        <v>234</v>
      </c>
      <c r="AJ130">
        <v>45.658064000000003</v>
      </c>
      <c r="AK130" t="s">
        <v>190</v>
      </c>
      <c r="AL130">
        <v>-89.505056999999994</v>
      </c>
      <c r="AM130">
        <v>100</v>
      </c>
      <c r="AN130">
        <v>3900</v>
      </c>
      <c r="AO130" t="s">
        <v>118</v>
      </c>
      <c r="AP130">
        <v>50</v>
      </c>
      <c r="AQ130">
        <v>151</v>
      </c>
      <c r="AR130">
        <v>2624</v>
      </c>
      <c r="AZ130">
        <v>1200</v>
      </c>
      <c r="BA130">
        <v>1</v>
      </c>
      <c r="BB130" t="str">
        <f t="shared" si="9"/>
        <v xml:space="preserve">N690LS  </v>
      </c>
      <c r="BC130">
        <v>1</v>
      </c>
      <c r="BE130">
        <v>0</v>
      </c>
      <c r="BF130">
        <v>0</v>
      </c>
      <c r="BG130">
        <v>0</v>
      </c>
      <c r="BH130">
        <v>3900</v>
      </c>
      <c r="BI130">
        <v>1</v>
      </c>
      <c r="BJ130">
        <v>1</v>
      </c>
      <c r="BK130">
        <v>1</v>
      </c>
      <c r="BL130">
        <v>0</v>
      </c>
      <c r="BO130">
        <v>0</v>
      </c>
      <c r="BP130">
        <v>0</v>
      </c>
      <c r="BW130" t="str">
        <f>"13:51:34.085"</f>
        <v>13:51:34.085</v>
      </c>
      <c r="CJ130">
        <v>0</v>
      </c>
      <c r="CK130">
        <v>2</v>
      </c>
      <c r="CL130">
        <v>0</v>
      </c>
      <c r="CM130">
        <v>2</v>
      </c>
      <c r="CN130">
        <v>0</v>
      </c>
      <c r="CO130">
        <v>6</v>
      </c>
      <c r="CP130" t="s">
        <v>119</v>
      </c>
      <c r="CQ130">
        <v>193</v>
      </c>
      <c r="CR130">
        <v>1</v>
      </c>
      <c r="CW130">
        <v>12252120</v>
      </c>
      <c r="CY130">
        <v>1</v>
      </c>
      <c r="CZ130">
        <v>0</v>
      </c>
      <c r="DA130">
        <v>1</v>
      </c>
      <c r="DB130">
        <v>0</v>
      </c>
      <c r="DC130">
        <v>0</v>
      </c>
      <c r="DD130">
        <v>0</v>
      </c>
      <c r="DE130">
        <v>0</v>
      </c>
      <c r="DF130">
        <v>0</v>
      </c>
      <c r="DG130">
        <v>0</v>
      </c>
      <c r="DH130">
        <v>0</v>
      </c>
      <c r="DI130">
        <v>0</v>
      </c>
    </row>
    <row r="131" spans="1:113" x14ac:dyDescent="0.3">
      <c r="A131" t="str">
        <f>"09/28/2021 13:51:35.432"</f>
        <v>09/28/2021 13:51:35.432</v>
      </c>
      <c r="C131" t="str">
        <f t="shared" si="8"/>
        <v>FFDFD3C0</v>
      </c>
      <c r="D131" t="s">
        <v>120</v>
      </c>
      <c r="E131">
        <v>12</v>
      </c>
      <c r="F131">
        <v>1012</v>
      </c>
      <c r="G131" t="s">
        <v>114</v>
      </c>
      <c r="J131" t="s">
        <v>121</v>
      </c>
      <c r="K131">
        <v>0</v>
      </c>
      <c r="L131">
        <v>3</v>
      </c>
      <c r="M131">
        <v>0</v>
      </c>
      <c r="N131">
        <v>2</v>
      </c>
      <c r="O131">
        <v>1</v>
      </c>
      <c r="P131">
        <v>0</v>
      </c>
      <c r="Q131">
        <v>0</v>
      </c>
      <c r="S131" t="str">
        <f>"13:51:35.195"</f>
        <v>13:51:35.195</v>
      </c>
      <c r="T131" t="str">
        <f>"13:51:34.695"</f>
        <v>13:51:34.695</v>
      </c>
      <c r="U131" t="str">
        <f t="shared" si="10"/>
        <v>A92BC1</v>
      </c>
      <c r="V131">
        <v>0</v>
      </c>
      <c r="W131">
        <v>0</v>
      </c>
      <c r="X131">
        <v>2</v>
      </c>
      <c r="Z131">
        <v>0</v>
      </c>
      <c r="AA131">
        <v>9</v>
      </c>
      <c r="AB131">
        <v>3</v>
      </c>
      <c r="AC131">
        <v>0</v>
      </c>
      <c r="AD131">
        <v>10</v>
      </c>
      <c r="AE131">
        <v>0</v>
      </c>
      <c r="AF131">
        <v>3</v>
      </c>
      <c r="AG131">
        <v>2</v>
      </c>
      <c r="AH131">
        <v>0</v>
      </c>
      <c r="AI131" t="s">
        <v>235</v>
      </c>
      <c r="AJ131">
        <v>45.658814999999997</v>
      </c>
      <c r="AK131" t="s">
        <v>236</v>
      </c>
      <c r="AL131">
        <v>-89.504671000000002</v>
      </c>
      <c r="AM131">
        <v>100</v>
      </c>
      <c r="AN131">
        <v>3900</v>
      </c>
      <c r="AO131" t="s">
        <v>118</v>
      </c>
      <c r="AP131">
        <v>57</v>
      </c>
      <c r="AQ131">
        <v>148</v>
      </c>
      <c r="AR131">
        <v>2688</v>
      </c>
      <c r="AZ131">
        <v>1200</v>
      </c>
      <c r="BA131">
        <v>1</v>
      </c>
      <c r="BB131" t="str">
        <f t="shared" si="9"/>
        <v xml:space="preserve">N690LS  </v>
      </c>
      <c r="BC131">
        <v>1</v>
      </c>
      <c r="BE131">
        <v>0</v>
      </c>
      <c r="BF131">
        <v>0</v>
      </c>
      <c r="BG131">
        <v>0</v>
      </c>
      <c r="BH131">
        <v>3975</v>
      </c>
      <c r="BI131">
        <v>1</v>
      </c>
      <c r="BJ131">
        <v>1</v>
      </c>
      <c r="BK131">
        <v>1</v>
      </c>
      <c r="BL131">
        <v>0</v>
      </c>
      <c r="BO131">
        <v>0</v>
      </c>
      <c r="BP131">
        <v>0</v>
      </c>
      <c r="BW131" t="str">
        <f>"13:51:35.201"</f>
        <v>13:51:35.201</v>
      </c>
      <c r="CJ131">
        <v>0</v>
      </c>
      <c r="CK131">
        <v>2</v>
      </c>
      <c r="CL131">
        <v>0</v>
      </c>
      <c r="CM131">
        <v>2</v>
      </c>
      <c r="CN131">
        <v>0</v>
      </c>
      <c r="CO131">
        <v>7</v>
      </c>
      <c r="CP131" t="s">
        <v>119</v>
      </c>
      <c r="CQ131">
        <v>197</v>
      </c>
      <c r="CR131">
        <v>2</v>
      </c>
      <c r="CW131">
        <v>2148464</v>
      </c>
      <c r="CY131">
        <v>1</v>
      </c>
      <c r="CZ131">
        <v>0</v>
      </c>
      <c r="DA131">
        <v>0</v>
      </c>
      <c r="DB131">
        <v>0</v>
      </c>
      <c r="DC131">
        <v>0</v>
      </c>
      <c r="DD131">
        <v>0</v>
      </c>
      <c r="DE131">
        <v>0</v>
      </c>
      <c r="DF131">
        <v>0</v>
      </c>
      <c r="DG131">
        <v>0</v>
      </c>
      <c r="DH131">
        <v>0</v>
      </c>
      <c r="DI131">
        <v>0</v>
      </c>
    </row>
    <row r="132" spans="1:113" x14ac:dyDescent="0.3">
      <c r="A132" t="str">
        <f>"09/28/2021 13:51:35.448"</f>
        <v>09/28/2021 13:51:35.448</v>
      </c>
      <c r="C132" t="str">
        <f t="shared" si="8"/>
        <v>FFDFD3C0</v>
      </c>
      <c r="D132" t="s">
        <v>113</v>
      </c>
      <c r="E132">
        <v>7</v>
      </c>
      <c r="H132">
        <v>170</v>
      </c>
      <c r="I132" t="s">
        <v>114</v>
      </c>
      <c r="J132" t="s">
        <v>115</v>
      </c>
      <c r="K132">
        <v>0</v>
      </c>
      <c r="L132">
        <v>3</v>
      </c>
      <c r="M132">
        <v>0</v>
      </c>
      <c r="N132">
        <v>2</v>
      </c>
      <c r="O132">
        <v>1</v>
      </c>
      <c r="P132">
        <v>0</v>
      </c>
      <c r="Q132">
        <v>0</v>
      </c>
      <c r="S132" t="str">
        <f>"13:51:35.195"</f>
        <v>13:51:35.195</v>
      </c>
      <c r="T132" t="str">
        <f>"13:51:34.695"</f>
        <v>13:51:34.695</v>
      </c>
      <c r="U132" t="str">
        <f t="shared" si="10"/>
        <v>A92BC1</v>
      </c>
      <c r="V132">
        <v>0</v>
      </c>
      <c r="W132">
        <v>0</v>
      </c>
      <c r="X132">
        <v>2</v>
      </c>
      <c r="Z132">
        <v>0</v>
      </c>
      <c r="AA132">
        <v>9</v>
      </c>
      <c r="AB132">
        <v>3</v>
      </c>
      <c r="AC132">
        <v>0</v>
      </c>
      <c r="AD132">
        <v>10</v>
      </c>
      <c r="AE132">
        <v>0</v>
      </c>
      <c r="AF132">
        <v>3</v>
      </c>
      <c r="AG132">
        <v>2</v>
      </c>
      <c r="AH132">
        <v>0</v>
      </c>
      <c r="AI132" t="s">
        <v>235</v>
      </c>
      <c r="AJ132">
        <v>45.658814999999997</v>
      </c>
      <c r="AK132" t="s">
        <v>236</v>
      </c>
      <c r="AL132">
        <v>-89.504671000000002</v>
      </c>
      <c r="AM132">
        <v>100</v>
      </c>
      <c r="AN132">
        <v>3900</v>
      </c>
      <c r="AO132" t="s">
        <v>118</v>
      </c>
      <c r="AP132">
        <v>57</v>
      </c>
      <c r="AQ132">
        <v>148</v>
      </c>
      <c r="AR132">
        <v>2688</v>
      </c>
      <c r="AZ132">
        <v>1200</v>
      </c>
      <c r="BA132">
        <v>1</v>
      </c>
      <c r="BB132" t="str">
        <f t="shared" si="9"/>
        <v xml:space="preserve">N690LS  </v>
      </c>
      <c r="BC132">
        <v>1</v>
      </c>
      <c r="BE132">
        <v>0</v>
      </c>
      <c r="BF132">
        <v>0</v>
      </c>
      <c r="BG132">
        <v>0</v>
      </c>
      <c r="BH132">
        <v>3975</v>
      </c>
      <c r="BI132">
        <v>1</v>
      </c>
      <c r="BJ132">
        <v>1</v>
      </c>
      <c r="BK132">
        <v>1</v>
      </c>
      <c r="BL132">
        <v>0</v>
      </c>
      <c r="BO132">
        <v>0</v>
      </c>
      <c r="BP132">
        <v>0</v>
      </c>
      <c r="BW132" t="str">
        <f>"13:51:35.201"</f>
        <v>13:51:35.201</v>
      </c>
      <c r="CJ132">
        <v>0</v>
      </c>
      <c r="CK132">
        <v>2</v>
      </c>
      <c r="CL132">
        <v>0</v>
      </c>
      <c r="CM132">
        <v>2</v>
      </c>
      <c r="CN132">
        <v>0</v>
      </c>
      <c r="CO132">
        <v>7</v>
      </c>
      <c r="CP132" t="s">
        <v>119</v>
      </c>
      <c r="CQ132">
        <v>197</v>
      </c>
      <c r="CR132">
        <v>2</v>
      </c>
      <c r="CW132">
        <v>2148464</v>
      </c>
      <c r="CY132">
        <v>1</v>
      </c>
      <c r="CZ132">
        <v>0</v>
      </c>
      <c r="DA132">
        <v>1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</row>
    <row r="133" spans="1:113" x14ac:dyDescent="0.3">
      <c r="A133" t="str">
        <f>"09/28/2021 13:51:36.587"</f>
        <v>09/28/2021 13:51:36.587</v>
      </c>
      <c r="C133" t="str">
        <f t="shared" si="8"/>
        <v>FFDFD3C0</v>
      </c>
      <c r="D133" t="s">
        <v>120</v>
      </c>
      <c r="E133">
        <v>12</v>
      </c>
      <c r="F133">
        <v>1012</v>
      </c>
      <c r="G133" t="s">
        <v>114</v>
      </c>
      <c r="J133" t="s">
        <v>121</v>
      </c>
      <c r="K133">
        <v>0</v>
      </c>
      <c r="L133">
        <v>3</v>
      </c>
      <c r="M133">
        <v>0</v>
      </c>
      <c r="N133">
        <v>2</v>
      </c>
      <c r="O133">
        <v>1</v>
      </c>
      <c r="P133">
        <v>0</v>
      </c>
      <c r="Q133">
        <v>0</v>
      </c>
      <c r="S133" t="str">
        <f>"13:51:36.359"</f>
        <v>13:51:36.359</v>
      </c>
      <c r="T133" t="str">
        <f>"13:51:35.859"</f>
        <v>13:51:35.859</v>
      </c>
      <c r="U133" t="str">
        <f t="shared" si="10"/>
        <v>A92BC1</v>
      </c>
      <c r="V133">
        <v>0</v>
      </c>
      <c r="W133">
        <v>0</v>
      </c>
      <c r="X133">
        <v>2</v>
      </c>
      <c r="Z133">
        <v>0</v>
      </c>
      <c r="AA133">
        <v>9</v>
      </c>
      <c r="AB133">
        <v>3</v>
      </c>
      <c r="AC133">
        <v>0</v>
      </c>
      <c r="AD133">
        <v>10</v>
      </c>
      <c r="AE133">
        <v>0</v>
      </c>
      <c r="AF133">
        <v>3</v>
      </c>
      <c r="AG133">
        <v>2</v>
      </c>
      <c r="AH133">
        <v>0</v>
      </c>
      <c r="AI133" t="s">
        <v>237</v>
      </c>
      <c r="AJ133">
        <v>45.65963</v>
      </c>
      <c r="AK133" t="s">
        <v>238</v>
      </c>
      <c r="AL133">
        <v>-89.504135000000005</v>
      </c>
      <c r="AM133">
        <v>100</v>
      </c>
      <c r="AN133">
        <v>4000</v>
      </c>
      <c r="AO133" t="s">
        <v>118</v>
      </c>
      <c r="AP133">
        <v>63</v>
      </c>
      <c r="AQ133">
        <v>145</v>
      </c>
      <c r="AR133">
        <v>2752</v>
      </c>
      <c r="AZ133">
        <v>1200</v>
      </c>
      <c r="BA133">
        <v>1</v>
      </c>
      <c r="BB133" t="str">
        <f t="shared" si="9"/>
        <v xml:space="preserve">N690LS  </v>
      </c>
      <c r="BC133">
        <v>1</v>
      </c>
      <c r="BE133">
        <v>0</v>
      </c>
      <c r="BF133">
        <v>0</v>
      </c>
      <c r="BG133">
        <v>0</v>
      </c>
      <c r="BH133">
        <v>4000</v>
      </c>
      <c r="BI133">
        <v>1</v>
      </c>
      <c r="BJ133">
        <v>1</v>
      </c>
      <c r="BK133">
        <v>1</v>
      </c>
      <c r="BL133">
        <v>0</v>
      </c>
      <c r="BO133">
        <v>0</v>
      </c>
      <c r="BP133">
        <v>0</v>
      </c>
      <c r="BW133" t="str">
        <f>"13:51:36.366"</f>
        <v>13:51:36.366</v>
      </c>
      <c r="CJ133">
        <v>0</v>
      </c>
      <c r="CK133">
        <v>2</v>
      </c>
      <c r="CL133">
        <v>0</v>
      </c>
      <c r="CM133">
        <v>2</v>
      </c>
      <c r="CN133">
        <v>0</v>
      </c>
      <c r="CO133">
        <v>7</v>
      </c>
      <c r="CP133" t="s">
        <v>119</v>
      </c>
      <c r="CQ133">
        <v>197</v>
      </c>
      <c r="CR133">
        <v>2</v>
      </c>
      <c r="CW133">
        <v>2149501</v>
      </c>
      <c r="CY133">
        <v>1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</row>
    <row r="134" spans="1:113" x14ac:dyDescent="0.3">
      <c r="A134" t="str">
        <f>"09/28/2021 13:51:36.587"</f>
        <v>09/28/2021 13:51:36.587</v>
      </c>
      <c r="C134" t="str">
        <f t="shared" si="8"/>
        <v>FFDFD3C0</v>
      </c>
      <c r="D134" t="s">
        <v>113</v>
      </c>
      <c r="E134">
        <v>7</v>
      </c>
      <c r="H134">
        <v>170</v>
      </c>
      <c r="I134" t="s">
        <v>114</v>
      </c>
      <c r="J134" t="s">
        <v>115</v>
      </c>
      <c r="K134">
        <v>0</v>
      </c>
      <c r="L134">
        <v>3</v>
      </c>
      <c r="M134">
        <v>0</v>
      </c>
      <c r="N134">
        <v>2</v>
      </c>
      <c r="O134">
        <v>1</v>
      </c>
      <c r="P134">
        <v>0</v>
      </c>
      <c r="Q134">
        <v>0</v>
      </c>
      <c r="S134" t="str">
        <f>"13:51:36.359"</f>
        <v>13:51:36.359</v>
      </c>
      <c r="T134" t="str">
        <f>"13:51:35.859"</f>
        <v>13:51:35.859</v>
      </c>
      <c r="U134" t="str">
        <f t="shared" si="10"/>
        <v>A92BC1</v>
      </c>
      <c r="V134">
        <v>0</v>
      </c>
      <c r="W134">
        <v>0</v>
      </c>
      <c r="X134">
        <v>2</v>
      </c>
      <c r="Z134">
        <v>0</v>
      </c>
      <c r="AA134">
        <v>9</v>
      </c>
      <c r="AB134">
        <v>3</v>
      </c>
      <c r="AC134">
        <v>0</v>
      </c>
      <c r="AD134">
        <v>10</v>
      </c>
      <c r="AE134">
        <v>0</v>
      </c>
      <c r="AF134">
        <v>3</v>
      </c>
      <c r="AG134">
        <v>2</v>
      </c>
      <c r="AH134">
        <v>0</v>
      </c>
      <c r="AI134" t="s">
        <v>237</v>
      </c>
      <c r="AJ134">
        <v>45.65963</v>
      </c>
      <c r="AK134" t="s">
        <v>238</v>
      </c>
      <c r="AL134">
        <v>-89.504135000000005</v>
      </c>
      <c r="AM134">
        <v>100</v>
      </c>
      <c r="AN134">
        <v>4000</v>
      </c>
      <c r="AO134" t="s">
        <v>118</v>
      </c>
      <c r="AP134">
        <v>63</v>
      </c>
      <c r="AQ134">
        <v>145</v>
      </c>
      <c r="AR134">
        <v>2752</v>
      </c>
      <c r="AZ134">
        <v>1200</v>
      </c>
      <c r="BA134">
        <v>1</v>
      </c>
      <c r="BB134" t="str">
        <f t="shared" si="9"/>
        <v xml:space="preserve">N690LS  </v>
      </c>
      <c r="BC134">
        <v>1</v>
      </c>
      <c r="BE134">
        <v>0</v>
      </c>
      <c r="BF134">
        <v>0</v>
      </c>
      <c r="BG134">
        <v>0</v>
      </c>
      <c r="BH134">
        <v>4000</v>
      </c>
      <c r="BI134">
        <v>1</v>
      </c>
      <c r="BJ134">
        <v>1</v>
      </c>
      <c r="BK134">
        <v>1</v>
      </c>
      <c r="BL134">
        <v>0</v>
      </c>
      <c r="BO134">
        <v>0</v>
      </c>
      <c r="BP134">
        <v>0</v>
      </c>
      <c r="BW134" t="str">
        <f>"13:51:36.366"</f>
        <v>13:51:36.366</v>
      </c>
      <c r="CJ134">
        <v>0</v>
      </c>
      <c r="CK134">
        <v>2</v>
      </c>
      <c r="CL134">
        <v>0</v>
      </c>
      <c r="CM134">
        <v>2</v>
      </c>
      <c r="CN134">
        <v>0</v>
      </c>
      <c r="CO134">
        <v>7</v>
      </c>
      <c r="CP134" t="s">
        <v>119</v>
      </c>
      <c r="CQ134">
        <v>197</v>
      </c>
      <c r="CR134">
        <v>2</v>
      </c>
      <c r="CW134">
        <v>2149501</v>
      </c>
      <c r="CY134">
        <v>1</v>
      </c>
      <c r="CZ134">
        <v>0</v>
      </c>
      <c r="DA134">
        <v>1</v>
      </c>
      <c r="DB134">
        <v>0</v>
      </c>
      <c r="DC134">
        <v>0</v>
      </c>
      <c r="DD134">
        <v>0</v>
      </c>
      <c r="DE134">
        <v>0</v>
      </c>
      <c r="DF134">
        <v>0</v>
      </c>
      <c r="DG134">
        <v>0</v>
      </c>
      <c r="DH134">
        <v>0</v>
      </c>
      <c r="DI134">
        <v>0</v>
      </c>
    </row>
    <row r="135" spans="1:113" x14ac:dyDescent="0.3">
      <c r="A135" t="str">
        <f>"09/28/2021 13:51:37.493"</f>
        <v>09/28/2021 13:51:37.493</v>
      </c>
      <c r="C135" t="str">
        <f t="shared" si="8"/>
        <v>FFDFD3C0</v>
      </c>
      <c r="D135" t="s">
        <v>120</v>
      </c>
      <c r="E135">
        <v>12</v>
      </c>
      <c r="F135">
        <v>1012</v>
      </c>
      <c r="G135" t="s">
        <v>114</v>
      </c>
      <c r="J135" t="s">
        <v>121</v>
      </c>
      <c r="K135">
        <v>0</v>
      </c>
      <c r="L135">
        <v>3</v>
      </c>
      <c r="M135">
        <v>0</v>
      </c>
      <c r="N135">
        <v>2</v>
      </c>
      <c r="O135">
        <v>1</v>
      </c>
      <c r="P135">
        <v>0</v>
      </c>
      <c r="Q135">
        <v>0</v>
      </c>
      <c r="S135" t="str">
        <f>"13:51:37.305"</f>
        <v>13:51:37.305</v>
      </c>
      <c r="T135" t="str">
        <f>"13:51:36.805"</f>
        <v>13:51:36.805</v>
      </c>
      <c r="U135" t="str">
        <f t="shared" si="10"/>
        <v>A92BC1</v>
      </c>
      <c r="V135">
        <v>0</v>
      </c>
      <c r="W135">
        <v>0</v>
      </c>
      <c r="X135">
        <v>2</v>
      </c>
      <c r="Z135">
        <v>0</v>
      </c>
      <c r="AA135">
        <v>9</v>
      </c>
      <c r="AB135">
        <v>3</v>
      </c>
      <c r="AC135">
        <v>0</v>
      </c>
      <c r="AD135">
        <v>10</v>
      </c>
      <c r="AE135">
        <v>0</v>
      </c>
      <c r="AF135">
        <v>3</v>
      </c>
      <c r="AG135">
        <v>2</v>
      </c>
      <c r="AH135">
        <v>0</v>
      </c>
      <c r="AI135" t="s">
        <v>239</v>
      </c>
      <c r="AJ135">
        <v>45.660209999999999</v>
      </c>
      <c r="AK135" t="s">
        <v>182</v>
      </c>
      <c r="AL135">
        <v>-89.503770000000003</v>
      </c>
      <c r="AM135">
        <v>100</v>
      </c>
      <c r="AN135">
        <v>4000</v>
      </c>
      <c r="AO135" t="s">
        <v>118</v>
      </c>
      <c r="AP135">
        <v>68</v>
      </c>
      <c r="AQ135">
        <v>142</v>
      </c>
      <c r="AR135">
        <v>2752</v>
      </c>
      <c r="AZ135">
        <v>1200</v>
      </c>
      <c r="BA135">
        <v>1</v>
      </c>
      <c r="BB135" t="str">
        <f t="shared" si="9"/>
        <v xml:space="preserve">N690LS  </v>
      </c>
      <c r="BC135">
        <v>1</v>
      </c>
      <c r="BE135">
        <v>0</v>
      </c>
      <c r="BF135">
        <v>0</v>
      </c>
      <c r="BG135">
        <v>0</v>
      </c>
      <c r="BH135">
        <v>4050</v>
      </c>
      <c r="BI135">
        <v>1</v>
      </c>
      <c r="BJ135">
        <v>1</v>
      </c>
      <c r="BK135">
        <v>1</v>
      </c>
      <c r="BL135">
        <v>0</v>
      </c>
      <c r="BO135">
        <v>0</v>
      </c>
      <c r="BP135">
        <v>0</v>
      </c>
      <c r="BW135" t="str">
        <f>"13:51:37.308"</f>
        <v>13:51:37.308</v>
      </c>
      <c r="CJ135">
        <v>0</v>
      </c>
      <c r="CK135">
        <v>2</v>
      </c>
      <c r="CL135">
        <v>0</v>
      </c>
      <c r="CM135">
        <v>2</v>
      </c>
      <c r="CN135">
        <v>0</v>
      </c>
      <c r="CO135">
        <v>5</v>
      </c>
      <c r="CP135" t="s">
        <v>119</v>
      </c>
      <c r="CQ135">
        <v>209</v>
      </c>
      <c r="CR135">
        <v>3</v>
      </c>
      <c r="CW135">
        <v>7131960</v>
      </c>
      <c r="CY135">
        <v>1</v>
      </c>
      <c r="CZ135">
        <v>0</v>
      </c>
      <c r="DA135">
        <v>0</v>
      </c>
      <c r="DB135">
        <v>0</v>
      </c>
      <c r="DC135">
        <v>0</v>
      </c>
      <c r="DD135">
        <v>0</v>
      </c>
      <c r="DE135">
        <v>0</v>
      </c>
      <c r="DF135">
        <v>0</v>
      </c>
      <c r="DG135">
        <v>0</v>
      </c>
      <c r="DH135">
        <v>0</v>
      </c>
      <c r="DI135">
        <v>0</v>
      </c>
    </row>
    <row r="136" spans="1:113" x14ac:dyDescent="0.3">
      <c r="A136" t="str">
        <f>"09/28/2021 13:51:37.493"</f>
        <v>09/28/2021 13:51:37.493</v>
      </c>
      <c r="C136" t="str">
        <f t="shared" si="8"/>
        <v>FFDFD3C0</v>
      </c>
      <c r="D136" t="s">
        <v>113</v>
      </c>
      <c r="E136">
        <v>7</v>
      </c>
      <c r="H136">
        <v>170</v>
      </c>
      <c r="I136" t="s">
        <v>114</v>
      </c>
      <c r="J136" t="s">
        <v>115</v>
      </c>
      <c r="K136">
        <v>0</v>
      </c>
      <c r="L136">
        <v>3</v>
      </c>
      <c r="M136">
        <v>0</v>
      </c>
      <c r="N136">
        <v>2</v>
      </c>
      <c r="O136">
        <v>1</v>
      </c>
      <c r="P136">
        <v>0</v>
      </c>
      <c r="Q136">
        <v>0</v>
      </c>
      <c r="S136" t="str">
        <f>"13:51:37.305"</f>
        <v>13:51:37.305</v>
      </c>
      <c r="T136" t="str">
        <f>"13:51:36.805"</f>
        <v>13:51:36.805</v>
      </c>
      <c r="U136" t="str">
        <f t="shared" si="10"/>
        <v>A92BC1</v>
      </c>
      <c r="V136">
        <v>0</v>
      </c>
      <c r="W136">
        <v>0</v>
      </c>
      <c r="X136">
        <v>2</v>
      </c>
      <c r="Z136">
        <v>0</v>
      </c>
      <c r="AA136">
        <v>9</v>
      </c>
      <c r="AB136">
        <v>3</v>
      </c>
      <c r="AC136">
        <v>0</v>
      </c>
      <c r="AD136">
        <v>10</v>
      </c>
      <c r="AE136">
        <v>0</v>
      </c>
      <c r="AF136">
        <v>3</v>
      </c>
      <c r="AG136">
        <v>2</v>
      </c>
      <c r="AH136">
        <v>0</v>
      </c>
      <c r="AI136" t="s">
        <v>239</v>
      </c>
      <c r="AJ136">
        <v>45.660209999999999</v>
      </c>
      <c r="AK136" t="s">
        <v>182</v>
      </c>
      <c r="AL136">
        <v>-89.503770000000003</v>
      </c>
      <c r="AM136">
        <v>100</v>
      </c>
      <c r="AN136">
        <v>4000</v>
      </c>
      <c r="AO136" t="s">
        <v>118</v>
      </c>
      <c r="AP136">
        <v>68</v>
      </c>
      <c r="AQ136">
        <v>142</v>
      </c>
      <c r="AR136">
        <v>2752</v>
      </c>
      <c r="AZ136">
        <v>1200</v>
      </c>
      <c r="BA136">
        <v>1</v>
      </c>
      <c r="BB136" t="str">
        <f t="shared" si="9"/>
        <v xml:space="preserve">N690LS  </v>
      </c>
      <c r="BC136">
        <v>1</v>
      </c>
      <c r="BE136">
        <v>0</v>
      </c>
      <c r="BF136">
        <v>0</v>
      </c>
      <c r="BG136">
        <v>0</v>
      </c>
      <c r="BH136">
        <v>4050</v>
      </c>
      <c r="BI136">
        <v>1</v>
      </c>
      <c r="BJ136">
        <v>1</v>
      </c>
      <c r="BK136">
        <v>1</v>
      </c>
      <c r="BL136">
        <v>0</v>
      </c>
      <c r="BO136">
        <v>0</v>
      </c>
      <c r="BP136">
        <v>0</v>
      </c>
      <c r="BW136" t="str">
        <f>"13:51:37.308"</f>
        <v>13:51:37.308</v>
      </c>
      <c r="CJ136">
        <v>0</v>
      </c>
      <c r="CK136">
        <v>2</v>
      </c>
      <c r="CL136">
        <v>0</v>
      </c>
      <c r="CM136">
        <v>2</v>
      </c>
      <c r="CN136">
        <v>0</v>
      </c>
      <c r="CO136">
        <v>5</v>
      </c>
      <c r="CP136" t="s">
        <v>119</v>
      </c>
      <c r="CQ136">
        <v>209</v>
      </c>
      <c r="CR136">
        <v>3</v>
      </c>
      <c r="CW136">
        <v>7131960</v>
      </c>
      <c r="CY136">
        <v>1</v>
      </c>
      <c r="CZ136">
        <v>0</v>
      </c>
      <c r="DA136">
        <v>1</v>
      </c>
      <c r="DB136">
        <v>0</v>
      </c>
      <c r="DC136">
        <v>0</v>
      </c>
      <c r="DD136">
        <v>0</v>
      </c>
      <c r="DE136">
        <v>0</v>
      </c>
      <c r="DF136">
        <v>0</v>
      </c>
      <c r="DG136">
        <v>0</v>
      </c>
      <c r="DH136">
        <v>0</v>
      </c>
      <c r="DI136">
        <v>0</v>
      </c>
    </row>
    <row r="137" spans="1:113" x14ac:dyDescent="0.3">
      <c r="A137" t="str">
        <f>"09/28/2021 13:51:38.619"</f>
        <v>09/28/2021 13:51:38.619</v>
      </c>
      <c r="C137" t="str">
        <f t="shared" si="8"/>
        <v>FFDFD3C0</v>
      </c>
      <c r="D137" t="s">
        <v>120</v>
      </c>
      <c r="E137">
        <v>12</v>
      </c>
      <c r="F137">
        <v>1012</v>
      </c>
      <c r="G137" t="s">
        <v>114</v>
      </c>
      <c r="J137" t="s">
        <v>121</v>
      </c>
      <c r="K137">
        <v>0</v>
      </c>
      <c r="L137">
        <v>3</v>
      </c>
      <c r="M137">
        <v>0</v>
      </c>
      <c r="N137">
        <v>2</v>
      </c>
      <c r="O137">
        <v>1</v>
      </c>
      <c r="P137">
        <v>0</v>
      </c>
      <c r="Q137">
        <v>0</v>
      </c>
      <c r="S137" t="str">
        <f>"13:51:38.391"</f>
        <v>13:51:38.391</v>
      </c>
      <c r="T137" t="str">
        <f>"13:51:37.891"</f>
        <v>13:51:37.891</v>
      </c>
      <c r="U137" t="str">
        <f t="shared" si="10"/>
        <v>A92BC1</v>
      </c>
      <c r="V137">
        <v>0</v>
      </c>
      <c r="W137">
        <v>0</v>
      </c>
      <c r="X137">
        <v>2</v>
      </c>
      <c r="Z137">
        <v>0</v>
      </c>
      <c r="AA137">
        <v>9</v>
      </c>
      <c r="AB137">
        <v>3</v>
      </c>
      <c r="AC137">
        <v>0</v>
      </c>
      <c r="AD137">
        <v>10</v>
      </c>
      <c r="AE137">
        <v>0</v>
      </c>
      <c r="AF137">
        <v>3</v>
      </c>
      <c r="AG137">
        <v>2</v>
      </c>
      <c r="AH137">
        <v>0</v>
      </c>
      <c r="AI137" t="s">
        <v>240</v>
      </c>
      <c r="AJ137">
        <v>45.660918000000002</v>
      </c>
      <c r="AK137" t="s">
        <v>241</v>
      </c>
      <c r="AL137">
        <v>-89.503212000000005</v>
      </c>
      <c r="AM137">
        <v>100</v>
      </c>
      <c r="AN137">
        <v>4000</v>
      </c>
      <c r="AO137" t="s">
        <v>118</v>
      </c>
      <c r="AP137">
        <v>74</v>
      </c>
      <c r="AQ137">
        <v>138</v>
      </c>
      <c r="AR137">
        <v>2688</v>
      </c>
      <c r="AZ137">
        <v>1200</v>
      </c>
      <c r="BA137">
        <v>1</v>
      </c>
      <c r="BB137" t="str">
        <f t="shared" si="9"/>
        <v xml:space="preserve">N690LS  </v>
      </c>
      <c r="BC137">
        <v>1</v>
      </c>
      <c r="BE137">
        <v>0</v>
      </c>
      <c r="BF137">
        <v>0</v>
      </c>
      <c r="BG137">
        <v>0</v>
      </c>
      <c r="BH137">
        <v>4100</v>
      </c>
      <c r="BI137">
        <v>1</v>
      </c>
      <c r="BJ137">
        <v>1</v>
      </c>
      <c r="BK137">
        <v>1</v>
      </c>
      <c r="BL137">
        <v>0</v>
      </c>
      <c r="BO137">
        <v>0</v>
      </c>
      <c r="BP137">
        <v>0</v>
      </c>
      <c r="BW137" t="str">
        <f>"13:51:38.391"</f>
        <v>13:51:38.391</v>
      </c>
      <c r="CJ137">
        <v>0</v>
      </c>
      <c r="CK137">
        <v>2</v>
      </c>
      <c r="CL137">
        <v>0</v>
      </c>
      <c r="CM137">
        <v>2</v>
      </c>
      <c r="CN137">
        <v>0</v>
      </c>
      <c r="CO137">
        <v>4</v>
      </c>
      <c r="CP137" t="s">
        <v>119</v>
      </c>
      <c r="CQ137">
        <v>209</v>
      </c>
      <c r="CR137">
        <v>3</v>
      </c>
      <c r="CW137">
        <v>7132364</v>
      </c>
      <c r="CY137">
        <v>1</v>
      </c>
      <c r="CZ137">
        <v>0</v>
      </c>
      <c r="DA137">
        <v>0</v>
      </c>
      <c r="DB137">
        <v>0</v>
      </c>
      <c r="DC137">
        <v>0</v>
      </c>
      <c r="DD137">
        <v>0</v>
      </c>
      <c r="DE137">
        <v>0</v>
      </c>
      <c r="DF137">
        <v>0</v>
      </c>
      <c r="DG137">
        <v>0</v>
      </c>
      <c r="DH137">
        <v>0</v>
      </c>
      <c r="DI137">
        <v>0</v>
      </c>
    </row>
    <row r="138" spans="1:113" x14ac:dyDescent="0.3">
      <c r="A138" t="str">
        <f>"09/28/2021 13:51:38.619"</f>
        <v>09/28/2021 13:51:38.619</v>
      </c>
      <c r="C138" t="str">
        <f t="shared" si="8"/>
        <v>FFDFD3C0</v>
      </c>
      <c r="D138" t="s">
        <v>113</v>
      </c>
      <c r="E138">
        <v>7</v>
      </c>
      <c r="H138">
        <v>170</v>
      </c>
      <c r="I138" t="s">
        <v>114</v>
      </c>
      <c r="J138" t="s">
        <v>115</v>
      </c>
      <c r="K138">
        <v>0</v>
      </c>
      <c r="L138">
        <v>3</v>
      </c>
      <c r="M138">
        <v>0</v>
      </c>
      <c r="N138">
        <v>2</v>
      </c>
      <c r="O138">
        <v>1</v>
      </c>
      <c r="P138">
        <v>0</v>
      </c>
      <c r="Q138">
        <v>0</v>
      </c>
      <c r="S138" t="str">
        <f>"13:51:38.391"</f>
        <v>13:51:38.391</v>
      </c>
      <c r="T138" t="str">
        <f>"13:51:37.891"</f>
        <v>13:51:37.891</v>
      </c>
      <c r="U138" t="str">
        <f t="shared" si="10"/>
        <v>A92BC1</v>
      </c>
      <c r="V138">
        <v>0</v>
      </c>
      <c r="W138">
        <v>0</v>
      </c>
      <c r="X138">
        <v>2</v>
      </c>
      <c r="Z138">
        <v>0</v>
      </c>
      <c r="AA138">
        <v>9</v>
      </c>
      <c r="AB138">
        <v>3</v>
      </c>
      <c r="AC138">
        <v>0</v>
      </c>
      <c r="AD138">
        <v>10</v>
      </c>
      <c r="AE138">
        <v>0</v>
      </c>
      <c r="AF138">
        <v>3</v>
      </c>
      <c r="AG138">
        <v>2</v>
      </c>
      <c r="AH138">
        <v>0</v>
      </c>
      <c r="AI138" t="s">
        <v>240</v>
      </c>
      <c r="AJ138">
        <v>45.660918000000002</v>
      </c>
      <c r="AK138" t="s">
        <v>241</v>
      </c>
      <c r="AL138">
        <v>-89.503212000000005</v>
      </c>
      <c r="AM138">
        <v>100</v>
      </c>
      <c r="AN138">
        <v>4000</v>
      </c>
      <c r="AO138" t="s">
        <v>118</v>
      </c>
      <c r="AP138">
        <v>74</v>
      </c>
      <c r="AQ138">
        <v>138</v>
      </c>
      <c r="AR138">
        <v>2688</v>
      </c>
      <c r="AZ138">
        <v>1200</v>
      </c>
      <c r="BA138">
        <v>1</v>
      </c>
      <c r="BB138" t="str">
        <f t="shared" si="9"/>
        <v xml:space="preserve">N690LS  </v>
      </c>
      <c r="BC138">
        <v>1</v>
      </c>
      <c r="BE138">
        <v>0</v>
      </c>
      <c r="BF138">
        <v>0</v>
      </c>
      <c r="BG138">
        <v>0</v>
      </c>
      <c r="BH138">
        <v>4100</v>
      </c>
      <c r="BI138">
        <v>1</v>
      </c>
      <c r="BJ138">
        <v>1</v>
      </c>
      <c r="BK138">
        <v>1</v>
      </c>
      <c r="BL138">
        <v>0</v>
      </c>
      <c r="BO138">
        <v>0</v>
      </c>
      <c r="BP138">
        <v>0</v>
      </c>
      <c r="BW138" t="str">
        <f>"13:51:38.391"</f>
        <v>13:51:38.391</v>
      </c>
      <c r="CJ138">
        <v>0</v>
      </c>
      <c r="CK138">
        <v>2</v>
      </c>
      <c r="CL138">
        <v>0</v>
      </c>
      <c r="CM138">
        <v>2</v>
      </c>
      <c r="CN138">
        <v>0</v>
      </c>
      <c r="CO138">
        <v>4</v>
      </c>
      <c r="CP138" t="s">
        <v>119</v>
      </c>
      <c r="CQ138">
        <v>209</v>
      </c>
      <c r="CR138">
        <v>3</v>
      </c>
      <c r="CW138">
        <v>7132364</v>
      </c>
      <c r="CY138">
        <v>1</v>
      </c>
      <c r="CZ138">
        <v>0</v>
      </c>
      <c r="DA138">
        <v>1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</row>
    <row r="139" spans="1:113" x14ac:dyDescent="0.3">
      <c r="A139" t="str">
        <f>"09/28/2021 13:51:39.448"</f>
        <v>09/28/2021 13:51:39.448</v>
      </c>
      <c r="C139" t="str">
        <f t="shared" si="8"/>
        <v>FFDFD3C0</v>
      </c>
      <c r="D139" t="s">
        <v>120</v>
      </c>
      <c r="E139">
        <v>12</v>
      </c>
      <c r="F139">
        <v>1012</v>
      </c>
      <c r="G139" t="s">
        <v>114</v>
      </c>
      <c r="J139" t="s">
        <v>121</v>
      </c>
      <c r="K139">
        <v>0</v>
      </c>
      <c r="L139">
        <v>3</v>
      </c>
      <c r="M139">
        <v>0</v>
      </c>
      <c r="N139">
        <v>2</v>
      </c>
      <c r="O139">
        <v>1</v>
      </c>
      <c r="P139">
        <v>0</v>
      </c>
      <c r="Q139">
        <v>0</v>
      </c>
      <c r="S139" t="str">
        <f>"13:51:39.211"</f>
        <v>13:51:39.211</v>
      </c>
      <c r="T139" t="str">
        <f>"13:51:38.811"</f>
        <v>13:51:38.811</v>
      </c>
      <c r="U139" t="str">
        <f t="shared" si="10"/>
        <v>A92BC1</v>
      </c>
      <c r="V139">
        <v>0</v>
      </c>
      <c r="W139">
        <v>0</v>
      </c>
      <c r="X139">
        <v>2</v>
      </c>
      <c r="Z139">
        <v>0</v>
      </c>
      <c r="AA139">
        <v>9</v>
      </c>
      <c r="AB139">
        <v>3</v>
      </c>
      <c r="AC139">
        <v>0</v>
      </c>
      <c r="AD139">
        <v>10</v>
      </c>
      <c r="AE139">
        <v>0</v>
      </c>
      <c r="AF139">
        <v>3</v>
      </c>
      <c r="AG139">
        <v>2</v>
      </c>
      <c r="AH139">
        <v>0</v>
      </c>
      <c r="AI139" t="s">
        <v>242</v>
      </c>
      <c r="AJ139">
        <v>45.661433000000002</v>
      </c>
      <c r="AK139" t="s">
        <v>243</v>
      </c>
      <c r="AL139">
        <v>-89.502803999999998</v>
      </c>
      <c r="AM139">
        <v>100</v>
      </c>
      <c r="AN139">
        <v>4100</v>
      </c>
      <c r="AO139" t="s">
        <v>118</v>
      </c>
      <c r="AP139">
        <v>78</v>
      </c>
      <c r="AQ139">
        <v>136</v>
      </c>
      <c r="AR139">
        <v>2688</v>
      </c>
      <c r="AZ139">
        <v>1200</v>
      </c>
      <c r="BA139">
        <v>1</v>
      </c>
      <c r="BB139" t="str">
        <f t="shared" si="9"/>
        <v xml:space="preserve">N690LS  </v>
      </c>
      <c r="BC139">
        <v>1</v>
      </c>
      <c r="BE139">
        <v>0</v>
      </c>
      <c r="BF139">
        <v>0</v>
      </c>
      <c r="BG139">
        <v>0</v>
      </c>
      <c r="BH139">
        <v>4150</v>
      </c>
      <c r="BI139">
        <v>1</v>
      </c>
      <c r="BJ139">
        <v>1</v>
      </c>
      <c r="BK139">
        <v>1</v>
      </c>
      <c r="BL139">
        <v>0</v>
      </c>
      <c r="BO139">
        <v>0</v>
      </c>
      <c r="BP139">
        <v>0</v>
      </c>
      <c r="BW139" t="str">
        <f>"13:51:39.212"</f>
        <v>13:51:39.212</v>
      </c>
      <c r="CJ139">
        <v>0</v>
      </c>
      <c r="CK139">
        <v>2</v>
      </c>
      <c r="CL139">
        <v>0</v>
      </c>
      <c r="CM139">
        <v>2</v>
      </c>
      <c r="CN139">
        <v>0</v>
      </c>
      <c r="CO139">
        <v>7</v>
      </c>
      <c r="CP139" t="s">
        <v>119</v>
      </c>
      <c r="CQ139">
        <v>197</v>
      </c>
      <c r="CR139">
        <v>2</v>
      </c>
      <c r="CW139">
        <v>2152039</v>
      </c>
      <c r="CY139">
        <v>1</v>
      </c>
      <c r="CZ139">
        <v>0</v>
      </c>
      <c r="DA139">
        <v>0</v>
      </c>
      <c r="DB139">
        <v>0</v>
      </c>
      <c r="DC139">
        <v>0</v>
      </c>
      <c r="DD139">
        <v>0</v>
      </c>
      <c r="DE139">
        <v>0</v>
      </c>
      <c r="DF139">
        <v>0</v>
      </c>
      <c r="DG139">
        <v>0</v>
      </c>
      <c r="DH139">
        <v>0</v>
      </c>
      <c r="DI139">
        <v>0</v>
      </c>
    </row>
    <row r="140" spans="1:113" x14ac:dyDescent="0.3">
      <c r="A140" t="str">
        <f>"09/28/2021 13:51:39.463"</f>
        <v>09/28/2021 13:51:39.463</v>
      </c>
      <c r="C140" t="str">
        <f t="shared" si="8"/>
        <v>FFDFD3C0</v>
      </c>
      <c r="D140" t="s">
        <v>113</v>
      </c>
      <c r="E140">
        <v>7</v>
      </c>
      <c r="H140">
        <v>170</v>
      </c>
      <c r="I140" t="s">
        <v>114</v>
      </c>
      <c r="J140" t="s">
        <v>115</v>
      </c>
      <c r="K140">
        <v>0</v>
      </c>
      <c r="L140">
        <v>3</v>
      </c>
      <c r="M140">
        <v>0</v>
      </c>
      <c r="N140">
        <v>2</v>
      </c>
      <c r="O140">
        <v>1</v>
      </c>
      <c r="P140">
        <v>0</v>
      </c>
      <c r="Q140">
        <v>0</v>
      </c>
      <c r="S140" t="str">
        <f>"13:51:39.211"</f>
        <v>13:51:39.211</v>
      </c>
      <c r="T140" t="str">
        <f>"13:51:38.811"</f>
        <v>13:51:38.811</v>
      </c>
      <c r="U140" t="str">
        <f t="shared" si="10"/>
        <v>A92BC1</v>
      </c>
      <c r="V140">
        <v>0</v>
      </c>
      <c r="W140">
        <v>0</v>
      </c>
      <c r="X140">
        <v>2</v>
      </c>
      <c r="Z140">
        <v>0</v>
      </c>
      <c r="AA140">
        <v>9</v>
      </c>
      <c r="AB140">
        <v>3</v>
      </c>
      <c r="AC140">
        <v>0</v>
      </c>
      <c r="AD140">
        <v>10</v>
      </c>
      <c r="AE140">
        <v>0</v>
      </c>
      <c r="AF140">
        <v>3</v>
      </c>
      <c r="AG140">
        <v>2</v>
      </c>
      <c r="AH140">
        <v>0</v>
      </c>
      <c r="AI140" t="s">
        <v>242</v>
      </c>
      <c r="AJ140">
        <v>45.661433000000002</v>
      </c>
      <c r="AK140" t="s">
        <v>243</v>
      </c>
      <c r="AL140">
        <v>-89.502803999999998</v>
      </c>
      <c r="AM140">
        <v>100</v>
      </c>
      <c r="AN140">
        <v>4100</v>
      </c>
      <c r="AO140" t="s">
        <v>118</v>
      </c>
      <c r="AP140">
        <v>78</v>
      </c>
      <c r="AQ140">
        <v>136</v>
      </c>
      <c r="AR140">
        <v>2688</v>
      </c>
      <c r="AZ140">
        <v>1200</v>
      </c>
      <c r="BA140">
        <v>1</v>
      </c>
      <c r="BB140" t="str">
        <f t="shared" si="9"/>
        <v xml:space="preserve">N690LS  </v>
      </c>
      <c r="BC140">
        <v>1</v>
      </c>
      <c r="BE140">
        <v>0</v>
      </c>
      <c r="BF140">
        <v>0</v>
      </c>
      <c r="BG140">
        <v>0</v>
      </c>
      <c r="BH140">
        <v>4150</v>
      </c>
      <c r="BI140">
        <v>1</v>
      </c>
      <c r="BJ140">
        <v>1</v>
      </c>
      <c r="BK140">
        <v>1</v>
      </c>
      <c r="BL140">
        <v>0</v>
      </c>
      <c r="BO140">
        <v>0</v>
      </c>
      <c r="BP140">
        <v>0</v>
      </c>
      <c r="BW140" t="str">
        <f>"13:51:39.212"</f>
        <v>13:51:39.212</v>
      </c>
      <c r="CJ140">
        <v>0</v>
      </c>
      <c r="CK140">
        <v>2</v>
      </c>
      <c r="CL140">
        <v>0</v>
      </c>
      <c r="CM140">
        <v>2</v>
      </c>
      <c r="CN140">
        <v>0</v>
      </c>
      <c r="CO140">
        <v>7</v>
      </c>
      <c r="CP140" t="s">
        <v>119</v>
      </c>
      <c r="CQ140">
        <v>197</v>
      </c>
      <c r="CR140">
        <v>2</v>
      </c>
      <c r="CW140">
        <v>2152039</v>
      </c>
      <c r="CY140">
        <v>1</v>
      </c>
      <c r="CZ140">
        <v>0</v>
      </c>
      <c r="DA140">
        <v>1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</row>
    <row r="141" spans="1:113" x14ac:dyDescent="0.3">
      <c r="A141" t="str">
        <f>"09/28/2021 13:51:40.401"</f>
        <v>09/28/2021 13:51:40.401</v>
      </c>
      <c r="C141" t="str">
        <f t="shared" si="8"/>
        <v>FFDFD3C0</v>
      </c>
      <c r="D141" t="s">
        <v>120</v>
      </c>
      <c r="E141">
        <v>12</v>
      </c>
      <c r="F141">
        <v>1012</v>
      </c>
      <c r="G141" t="s">
        <v>114</v>
      </c>
      <c r="J141" t="s">
        <v>121</v>
      </c>
      <c r="K141">
        <v>0</v>
      </c>
      <c r="L141">
        <v>3</v>
      </c>
      <c r="M141">
        <v>0</v>
      </c>
      <c r="N141">
        <v>2</v>
      </c>
      <c r="O141">
        <v>1</v>
      </c>
      <c r="P141">
        <v>0</v>
      </c>
      <c r="Q141">
        <v>0</v>
      </c>
      <c r="S141" t="str">
        <f>"13:51:40.133"</f>
        <v>13:51:40.133</v>
      </c>
      <c r="T141" t="str">
        <f>"13:51:39.633"</f>
        <v>13:51:39.633</v>
      </c>
      <c r="U141" t="str">
        <f t="shared" si="10"/>
        <v>A92BC1</v>
      </c>
      <c r="V141">
        <v>0</v>
      </c>
      <c r="W141">
        <v>0</v>
      </c>
      <c r="X141">
        <v>2</v>
      </c>
      <c r="Z141">
        <v>0</v>
      </c>
      <c r="AA141">
        <v>9</v>
      </c>
      <c r="AB141">
        <v>3</v>
      </c>
      <c r="AC141">
        <v>0</v>
      </c>
      <c r="AD141">
        <v>10</v>
      </c>
      <c r="AE141">
        <v>0</v>
      </c>
      <c r="AF141">
        <v>3</v>
      </c>
      <c r="AG141">
        <v>2</v>
      </c>
      <c r="AH141">
        <v>0</v>
      </c>
      <c r="AI141" t="s">
        <v>244</v>
      </c>
      <c r="AJ141">
        <v>45.662011999999997</v>
      </c>
      <c r="AK141" t="s">
        <v>245</v>
      </c>
      <c r="AL141">
        <v>-89.502268000000001</v>
      </c>
      <c r="AM141">
        <v>100</v>
      </c>
      <c r="AN141">
        <v>4100</v>
      </c>
      <c r="AO141" t="s">
        <v>118</v>
      </c>
      <c r="AP141">
        <v>82</v>
      </c>
      <c r="AQ141">
        <v>133</v>
      </c>
      <c r="AR141">
        <v>2624</v>
      </c>
      <c r="AZ141">
        <v>1200</v>
      </c>
      <c r="BA141">
        <v>1</v>
      </c>
      <c r="BB141" t="str">
        <f t="shared" si="9"/>
        <v xml:space="preserve">N690LS  </v>
      </c>
      <c r="BC141">
        <v>1</v>
      </c>
      <c r="BE141">
        <v>0</v>
      </c>
      <c r="BF141">
        <v>0</v>
      </c>
      <c r="BG141">
        <v>0</v>
      </c>
      <c r="BH141">
        <v>4175</v>
      </c>
      <c r="BI141">
        <v>1</v>
      </c>
      <c r="BJ141">
        <v>1</v>
      </c>
      <c r="BK141">
        <v>1</v>
      </c>
      <c r="BL141">
        <v>0</v>
      </c>
      <c r="BO141">
        <v>0</v>
      </c>
      <c r="BP141">
        <v>0</v>
      </c>
      <c r="BW141" t="str">
        <f>"13:51:40.135"</f>
        <v>13:51:40.135</v>
      </c>
      <c r="CJ141">
        <v>0</v>
      </c>
      <c r="CK141">
        <v>2</v>
      </c>
      <c r="CL141">
        <v>0</v>
      </c>
      <c r="CM141">
        <v>2</v>
      </c>
      <c r="CN141">
        <v>0</v>
      </c>
      <c r="CO141">
        <v>5</v>
      </c>
      <c r="CP141" t="s">
        <v>119</v>
      </c>
      <c r="CQ141">
        <v>209</v>
      </c>
      <c r="CR141">
        <v>3</v>
      </c>
      <c r="CW141">
        <v>7132878</v>
      </c>
      <c r="CY141">
        <v>1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</row>
    <row r="142" spans="1:113" x14ac:dyDescent="0.3">
      <c r="A142" t="str">
        <f>"09/28/2021 13:51:40.432"</f>
        <v>09/28/2021 13:51:40.432</v>
      </c>
      <c r="C142" t="str">
        <f t="shared" si="8"/>
        <v>FFDFD3C0</v>
      </c>
      <c r="D142" t="s">
        <v>113</v>
      </c>
      <c r="E142">
        <v>7</v>
      </c>
      <c r="H142">
        <v>170</v>
      </c>
      <c r="I142" t="s">
        <v>114</v>
      </c>
      <c r="J142" t="s">
        <v>115</v>
      </c>
      <c r="K142">
        <v>0</v>
      </c>
      <c r="L142">
        <v>3</v>
      </c>
      <c r="M142">
        <v>0</v>
      </c>
      <c r="N142">
        <v>2</v>
      </c>
      <c r="O142">
        <v>1</v>
      </c>
      <c r="P142">
        <v>0</v>
      </c>
      <c r="Q142">
        <v>0</v>
      </c>
      <c r="S142" t="str">
        <f>"13:51:40.133"</f>
        <v>13:51:40.133</v>
      </c>
      <c r="T142" t="str">
        <f>"13:51:39.633"</f>
        <v>13:51:39.633</v>
      </c>
      <c r="U142" t="str">
        <f t="shared" si="10"/>
        <v>A92BC1</v>
      </c>
      <c r="V142">
        <v>0</v>
      </c>
      <c r="W142">
        <v>0</v>
      </c>
      <c r="X142">
        <v>2</v>
      </c>
      <c r="Z142">
        <v>0</v>
      </c>
      <c r="AA142">
        <v>9</v>
      </c>
      <c r="AB142">
        <v>3</v>
      </c>
      <c r="AC142">
        <v>0</v>
      </c>
      <c r="AD142">
        <v>10</v>
      </c>
      <c r="AE142">
        <v>0</v>
      </c>
      <c r="AF142">
        <v>3</v>
      </c>
      <c r="AG142">
        <v>2</v>
      </c>
      <c r="AH142">
        <v>0</v>
      </c>
      <c r="AI142" t="s">
        <v>244</v>
      </c>
      <c r="AJ142">
        <v>45.662011999999997</v>
      </c>
      <c r="AK142" t="s">
        <v>245</v>
      </c>
      <c r="AL142">
        <v>-89.502268000000001</v>
      </c>
      <c r="AM142">
        <v>100</v>
      </c>
      <c r="AN142">
        <v>4100</v>
      </c>
      <c r="AO142" t="s">
        <v>118</v>
      </c>
      <c r="AP142">
        <v>82</v>
      </c>
      <c r="AQ142">
        <v>133</v>
      </c>
      <c r="AR142">
        <v>2624</v>
      </c>
      <c r="AZ142">
        <v>1200</v>
      </c>
      <c r="BA142">
        <v>1</v>
      </c>
      <c r="BB142" t="str">
        <f t="shared" si="9"/>
        <v xml:space="preserve">N690LS  </v>
      </c>
      <c r="BC142">
        <v>1</v>
      </c>
      <c r="BE142">
        <v>0</v>
      </c>
      <c r="BF142">
        <v>0</v>
      </c>
      <c r="BG142">
        <v>0</v>
      </c>
      <c r="BH142">
        <v>4175</v>
      </c>
      <c r="BI142">
        <v>1</v>
      </c>
      <c r="BJ142">
        <v>1</v>
      </c>
      <c r="BK142">
        <v>1</v>
      </c>
      <c r="BL142">
        <v>0</v>
      </c>
      <c r="BO142">
        <v>0</v>
      </c>
      <c r="BP142">
        <v>0</v>
      </c>
      <c r="BW142" t="str">
        <f>"13:51:40.135"</f>
        <v>13:51:40.135</v>
      </c>
      <c r="CJ142">
        <v>0</v>
      </c>
      <c r="CK142">
        <v>2</v>
      </c>
      <c r="CL142">
        <v>0</v>
      </c>
      <c r="CM142">
        <v>2</v>
      </c>
      <c r="CN142">
        <v>0</v>
      </c>
      <c r="CO142">
        <v>5</v>
      </c>
      <c r="CP142" t="s">
        <v>119</v>
      </c>
      <c r="CQ142">
        <v>209</v>
      </c>
      <c r="CR142">
        <v>3</v>
      </c>
      <c r="CW142">
        <v>7132878</v>
      </c>
      <c r="CY142">
        <v>1</v>
      </c>
      <c r="CZ142">
        <v>0</v>
      </c>
      <c r="DA142">
        <v>1</v>
      </c>
      <c r="DB142">
        <v>0</v>
      </c>
      <c r="DC142">
        <v>0</v>
      </c>
      <c r="DD142">
        <v>0</v>
      </c>
      <c r="DE142">
        <v>0</v>
      </c>
      <c r="DF142">
        <v>0</v>
      </c>
      <c r="DG142">
        <v>0</v>
      </c>
      <c r="DH142">
        <v>0</v>
      </c>
      <c r="DI142">
        <v>0</v>
      </c>
    </row>
    <row r="143" spans="1:113" x14ac:dyDescent="0.3">
      <c r="A143" t="str">
        <f>"09/28/2021 13:51:41.385"</f>
        <v>09/28/2021 13:51:41.385</v>
      </c>
      <c r="C143" t="str">
        <f t="shared" si="8"/>
        <v>FFDFD3C0</v>
      </c>
      <c r="D143" t="s">
        <v>113</v>
      </c>
      <c r="E143">
        <v>7</v>
      </c>
      <c r="H143">
        <v>170</v>
      </c>
      <c r="I143" t="s">
        <v>114</v>
      </c>
      <c r="J143" t="s">
        <v>115</v>
      </c>
      <c r="K143">
        <v>0</v>
      </c>
      <c r="L143">
        <v>3</v>
      </c>
      <c r="M143">
        <v>0</v>
      </c>
      <c r="N143">
        <v>2</v>
      </c>
      <c r="O143">
        <v>1</v>
      </c>
      <c r="P143">
        <v>0</v>
      </c>
      <c r="Q143">
        <v>0</v>
      </c>
      <c r="S143" t="str">
        <f>"13:51:41.156"</f>
        <v>13:51:41.156</v>
      </c>
      <c r="T143" t="str">
        <f>"13:51:40.656"</f>
        <v>13:51:40.656</v>
      </c>
      <c r="U143" t="str">
        <f t="shared" si="10"/>
        <v>A92BC1</v>
      </c>
      <c r="V143">
        <v>0</v>
      </c>
      <c r="W143">
        <v>0</v>
      </c>
      <c r="X143">
        <v>2</v>
      </c>
      <c r="Z143">
        <v>0</v>
      </c>
      <c r="AA143">
        <v>9</v>
      </c>
      <c r="AB143">
        <v>3</v>
      </c>
      <c r="AC143">
        <v>0</v>
      </c>
      <c r="AD143">
        <v>10</v>
      </c>
      <c r="AE143">
        <v>0</v>
      </c>
      <c r="AF143">
        <v>3</v>
      </c>
      <c r="AG143">
        <v>2</v>
      </c>
      <c r="AH143">
        <v>0</v>
      </c>
      <c r="AI143" t="s">
        <v>246</v>
      </c>
      <c r="AJ143">
        <v>45.662655999999998</v>
      </c>
      <c r="AK143" t="s">
        <v>247</v>
      </c>
      <c r="AL143">
        <v>-89.501666999999998</v>
      </c>
      <c r="AM143">
        <v>100</v>
      </c>
      <c r="AN143">
        <v>4200</v>
      </c>
      <c r="AO143" t="s">
        <v>118</v>
      </c>
      <c r="AP143">
        <v>84</v>
      </c>
      <c r="AQ143">
        <v>132</v>
      </c>
      <c r="AR143">
        <v>2496</v>
      </c>
      <c r="AZ143">
        <v>1200</v>
      </c>
      <c r="BA143">
        <v>1</v>
      </c>
      <c r="BB143" t="str">
        <f t="shared" si="9"/>
        <v xml:space="preserve">N690LS  </v>
      </c>
      <c r="BC143">
        <v>1</v>
      </c>
      <c r="BE143">
        <v>0</v>
      </c>
      <c r="BF143">
        <v>0</v>
      </c>
      <c r="BG143">
        <v>0</v>
      </c>
      <c r="BH143">
        <v>4225</v>
      </c>
      <c r="BI143">
        <v>1</v>
      </c>
      <c r="BJ143">
        <v>1</v>
      </c>
      <c r="BK143">
        <v>1</v>
      </c>
      <c r="BL143">
        <v>0</v>
      </c>
      <c r="BO143">
        <v>0</v>
      </c>
      <c r="BP143">
        <v>0</v>
      </c>
      <c r="BW143" t="str">
        <f>"13:51:41.164"</f>
        <v>13:51:41.164</v>
      </c>
      <c r="CJ143">
        <v>0</v>
      </c>
      <c r="CK143">
        <v>2</v>
      </c>
      <c r="CL143">
        <v>0</v>
      </c>
      <c r="CM143">
        <v>2</v>
      </c>
      <c r="CN143">
        <v>0</v>
      </c>
      <c r="CO143">
        <v>5</v>
      </c>
      <c r="CP143" t="s">
        <v>119</v>
      </c>
      <c r="CQ143">
        <v>209</v>
      </c>
      <c r="CR143">
        <v>2</v>
      </c>
      <c r="CW143">
        <v>11579425</v>
      </c>
      <c r="CY143">
        <v>1</v>
      </c>
      <c r="CZ143">
        <v>0</v>
      </c>
      <c r="DA143">
        <v>0</v>
      </c>
      <c r="DB143">
        <v>0</v>
      </c>
      <c r="DC143">
        <v>0</v>
      </c>
      <c r="DD143">
        <v>0</v>
      </c>
      <c r="DE143">
        <v>0</v>
      </c>
      <c r="DF143">
        <v>0</v>
      </c>
      <c r="DG143">
        <v>0</v>
      </c>
      <c r="DH143">
        <v>0</v>
      </c>
      <c r="DI143">
        <v>0</v>
      </c>
    </row>
    <row r="144" spans="1:113" x14ac:dyDescent="0.3">
      <c r="A144" t="str">
        <f>"09/28/2021 13:51:41.465"</f>
        <v>09/28/2021 13:51:41.465</v>
      </c>
      <c r="C144" t="str">
        <f t="shared" si="8"/>
        <v>FFDFD3C0</v>
      </c>
      <c r="D144" t="s">
        <v>120</v>
      </c>
      <c r="E144">
        <v>12</v>
      </c>
      <c r="F144">
        <v>1012</v>
      </c>
      <c r="G144" t="s">
        <v>114</v>
      </c>
      <c r="J144" t="s">
        <v>121</v>
      </c>
      <c r="K144">
        <v>0</v>
      </c>
      <c r="L144">
        <v>3</v>
      </c>
      <c r="M144">
        <v>0</v>
      </c>
      <c r="N144">
        <v>2</v>
      </c>
      <c r="O144">
        <v>1</v>
      </c>
      <c r="P144">
        <v>0</v>
      </c>
      <c r="Q144">
        <v>0</v>
      </c>
      <c r="S144" t="str">
        <f>"13:51:41.156"</f>
        <v>13:51:41.156</v>
      </c>
      <c r="T144" t="str">
        <f>"13:51:40.656"</f>
        <v>13:51:40.656</v>
      </c>
      <c r="U144" t="str">
        <f t="shared" si="10"/>
        <v>A92BC1</v>
      </c>
      <c r="V144">
        <v>0</v>
      </c>
      <c r="W144">
        <v>0</v>
      </c>
      <c r="X144">
        <v>2</v>
      </c>
      <c r="Z144">
        <v>0</v>
      </c>
      <c r="AA144">
        <v>9</v>
      </c>
      <c r="AB144">
        <v>3</v>
      </c>
      <c r="AC144">
        <v>0</v>
      </c>
      <c r="AD144">
        <v>10</v>
      </c>
      <c r="AE144">
        <v>0</v>
      </c>
      <c r="AF144">
        <v>3</v>
      </c>
      <c r="AG144">
        <v>2</v>
      </c>
      <c r="AH144">
        <v>0</v>
      </c>
      <c r="AI144" t="s">
        <v>246</v>
      </c>
      <c r="AJ144">
        <v>45.662655999999998</v>
      </c>
      <c r="AK144" t="s">
        <v>247</v>
      </c>
      <c r="AL144">
        <v>-89.501666999999998</v>
      </c>
      <c r="AM144">
        <v>100</v>
      </c>
      <c r="AN144">
        <v>4200</v>
      </c>
      <c r="AO144" t="s">
        <v>118</v>
      </c>
      <c r="AP144">
        <v>84</v>
      </c>
      <c r="AQ144">
        <v>132</v>
      </c>
      <c r="AR144">
        <v>2496</v>
      </c>
      <c r="AZ144">
        <v>1200</v>
      </c>
      <c r="BA144">
        <v>1</v>
      </c>
      <c r="BB144" t="str">
        <f t="shared" si="9"/>
        <v xml:space="preserve">N690LS  </v>
      </c>
      <c r="BC144">
        <v>1</v>
      </c>
      <c r="BE144">
        <v>0</v>
      </c>
      <c r="BF144">
        <v>0</v>
      </c>
      <c r="BG144">
        <v>0</v>
      </c>
      <c r="BH144">
        <v>4225</v>
      </c>
      <c r="BI144">
        <v>1</v>
      </c>
      <c r="BJ144">
        <v>1</v>
      </c>
      <c r="BK144">
        <v>1</v>
      </c>
      <c r="BL144">
        <v>0</v>
      </c>
      <c r="BO144">
        <v>0</v>
      </c>
      <c r="BP144">
        <v>0</v>
      </c>
      <c r="BW144" t="str">
        <f>"13:51:41.164"</f>
        <v>13:51:41.164</v>
      </c>
      <c r="CJ144">
        <v>0</v>
      </c>
      <c r="CK144">
        <v>2</v>
      </c>
      <c r="CL144">
        <v>0</v>
      </c>
      <c r="CM144">
        <v>2</v>
      </c>
      <c r="CN144">
        <v>0</v>
      </c>
      <c r="CO144">
        <v>5</v>
      </c>
      <c r="CP144" t="s">
        <v>119</v>
      </c>
      <c r="CQ144">
        <v>209</v>
      </c>
      <c r="CR144">
        <v>2</v>
      </c>
      <c r="CW144">
        <v>11579425</v>
      </c>
      <c r="CY144">
        <v>1</v>
      </c>
      <c r="CZ144">
        <v>0</v>
      </c>
      <c r="DA144">
        <v>1</v>
      </c>
      <c r="DB144">
        <v>0</v>
      </c>
      <c r="DC144">
        <v>0</v>
      </c>
      <c r="DD144">
        <v>0</v>
      </c>
      <c r="DE144">
        <v>0</v>
      </c>
      <c r="DF144">
        <v>0</v>
      </c>
      <c r="DG144">
        <v>0</v>
      </c>
      <c r="DH144">
        <v>0</v>
      </c>
      <c r="DI144">
        <v>0</v>
      </c>
    </row>
    <row r="145" spans="1:113" x14ac:dyDescent="0.3">
      <c r="A145" t="str">
        <f>"09/28/2021 13:51:42.462"</f>
        <v>09/28/2021 13:51:42.462</v>
      </c>
      <c r="C145" t="str">
        <f t="shared" si="8"/>
        <v>FFDFD3C0</v>
      </c>
      <c r="D145" t="s">
        <v>120</v>
      </c>
      <c r="E145">
        <v>12</v>
      </c>
      <c r="F145">
        <v>1012</v>
      </c>
      <c r="G145" t="s">
        <v>114</v>
      </c>
      <c r="J145" t="s">
        <v>121</v>
      </c>
      <c r="K145">
        <v>0</v>
      </c>
      <c r="L145">
        <v>3</v>
      </c>
      <c r="M145">
        <v>0</v>
      </c>
      <c r="N145">
        <v>2</v>
      </c>
      <c r="O145">
        <v>1</v>
      </c>
      <c r="P145">
        <v>0</v>
      </c>
      <c r="Q145">
        <v>0</v>
      </c>
      <c r="S145" t="str">
        <f>"13:51:42.242"</f>
        <v>13:51:42.242</v>
      </c>
      <c r="T145" t="str">
        <f>"13:51:41.742"</f>
        <v>13:51:41.742</v>
      </c>
      <c r="U145" t="str">
        <f t="shared" si="10"/>
        <v>A92BC1</v>
      </c>
      <c r="V145">
        <v>0</v>
      </c>
      <c r="W145">
        <v>0</v>
      </c>
      <c r="X145">
        <v>2</v>
      </c>
      <c r="Z145">
        <v>0</v>
      </c>
      <c r="AA145">
        <v>9</v>
      </c>
      <c r="AB145">
        <v>3</v>
      </c>
      <c r="AC145">
        <v>0</v>
      </c>
      <c r="AD145">
        <v>10</v>
      </c>
      <c r="AE145">
        <v>0</v>
      </c>
      <c r="AF145">
        <v>3</v>
      </c>
      <c r="AG145">
        <v>2</v>
      </c>
      <c r="AH145">
        <v>0</v>
      </c>
      <c r="AI145" t="s">
        <v>248</v>
      </c>
      <c r="AJ145">
        <v>45.663277999999998</v>
      </c>
      <c r="AK145" t="s">
        <v>249</v>
      </c>
      <c r="AL145">
        <v>-89.501023000000004</v>
      </c>
      <c r="AM145">
        <v>100</v>
      </c>
      <c r="AN145">
        <v>4200</v>
      </c>
      <c r="AO145" t="s">
        <v>118</v>
      </c>
      <c r="AP145">
        <v>88</v>
      </c>
      <c r="AQ145">
        <v>130</v>
      </c>
      <c r="AR145">
        <v>2304</v>
      </c>
      <c r="AZ145">
        <v>1200</v>
      </c>
      <c r="BA145">
        <v>1</v>
      </c>
      <c r="BB145" t="str">
        <f t="shared" si="9"/>
        <v xml:space="preserve">N690LS  </v>
      </c>
      <c r="BC145">
        <v>1</v>
      </c>
      <c r="BE145">
        <v>0</v>
      </c>
      <c r="BF145">
        <v>0</v>
      </c>
      <c r="BG145">
        <v>0</v>
      </c>
      <c r="BH145">
        <v>4275</v>
      </c>
      <c r="BI145">
        <v>1</v>
      </c>
      <c r="BJ145">
        <v>1</v>
      </c>
      <c r="BK145">
        <v>1</v>
      </c>
      <c r="BL145">
        <v>0</v>
      </c>
      <c r="BO145">
        <v>0</v>
      </c>
      <c r="BP145">
        <v>0</v>
      </c>
      <c r="BW145" t="str">
        <f>"13:51:42.245"</f>
        <v>13:51:42.245</v>
      </c>
      <c r="CJ145">
        <v>0</v>
      </c>
      <c r="CK145">
        <v>2</v>
      </c>
      <c r="CL145">
        <v>0</v>
      </c>
      <c r="CM145">
        <v>2</v>
      </c>
      <c r="CN145">
        <v>0</v>
      </c>
      <c r="CO145">
        <v>5</v>
      </c>
      <c r="CP145" t="s">
        <v>119</v>
      </c>
      <c r="CQ145">
        <v>209</v>
      </c>
      <c r="CR145">
        <v>3</v>
      </c>
      <c r="CW145">
        <v>7133598</v>
      </c>
      <c r="CY145">
        <v>1</v>
      </c>
      <c r="CZ145">
        <v>0</v>
      </c>
      <c r="DA145">
        <v>0</v>
      </c>
      <c r="DB145">
        <v>0</v>
      </c>
      <c r="DC145">
        <v>0</v>
      </c>
      <c r="DD145">
        <v>0</v>
      </c>
      <c r="DE145">
        <v>0</v>
      </c>
      <c r="DF145">
        <v>0</v>
      </c>
      <c r="DG145">
        <v>0</v>
      </c>
      <c r="DH145">
        <v>0</v>
      </c>
      <c r="DI145">
        <v>0</v>
      </c>
    </row>
    <row r="146" spans="1:113" x14ac:dyDescent="0.3">
      <c r="A146" t="str">
        <f>"09/28/2021 13:51:42.462"</f>
        <v>09/28/2021 13:51:42.462</v>
      </c>
      <c r="C146" t="str">
        <f t="shared" si="8"/>
        <v>FFDFD3C0</v>
      </c>
      <c r="D146" t="s">
        <v>113</v>
      </c>
      <c r="E146">
        <v>7</v>
      </c>
      <c r="H146">
        <v>170</v>
      </c>
      <c r="I146" t="s">
        <v>114</v>
      </c>
      <c r="J146" t="s">
        <v>115</v>
      </c>
      <c r="K146">
        <v>0</v>
      </c>
      <c r="L146">
        <v>3</v>
      </c>
      <c r="M146">
        <v>0</v>
      </c>
      <c r="N146">
        <v>2</v>
      </c>
      <c r="O146">
        <v>1</v>
      </c>
      <c r="P146">
        <v>0</v>
      </c>
      <c r="Q146">
        <v>0</v>
      </c>
      <c r="S146" t="str">
        <f>"13:51:42.242"</f>
        <v>13:51:42.242</v>
      </c>
      <c r="T146" t="str">
        <f>"13:51:41.742"</f>
        <v>13:51:41.742</v>
      </c>
      <c r="U146" t="str">
        <f t="shared" si="10"/>
        <v>A92BC1</v>
      </c>
      <c r="V146">
        <v>0</v>
      </c>
      <c r="W146">
        <v>0</v>
      </c>
      <c r="X146">
        <v>2</v>
      </c>
      <c r="Z146">
        <v>0</v>
      </c>
      <c r="AA146">
        <v>9</v>
      </c>
      <c r="AB146">
        <v>3</v>
      </c>
      <c r="AC146">
        <v>0</v>
      </c>
      <c r="AD146">
        <v>10</v>
      </c>
      <c r="AE146">
        <v>0</v>
      </c>
      <c r="AF146">
        <v>3</v>
      </c>
      <c r="AG146">
        <v>2</v>
      </c>
      <c r="AH146">
        <v>0</v>
      </c>
      <c r="AI146" t="s">
        <v>248</v>
      </c>
      <c r="AJ146">
        <v>45.663277999999998</v>
      </c>
      <c r="AK146" t="s">
        <v>249</v>
      </c>
      <c r="AL146">
        <v>-89.501023000000004</v>
      </c>
      <c r="AM146">
        <v>100</v>
      </c>
      <c r="AN146">
        <v>4200</v>
      </c>
      <c r="AO146" t="s">
        <v>118</v>
      </c>
      <c r="AP146">
        <v>88</v>
      </c>
      <c r="AQ146">
        <v>130</v>
      </c>
      <c r="AR146">
        <v>2304</v>
      </c>
      <c r="AZ146">
        <v>1200</v>
      </c>
      <c r="BA146">
        <v>1</v>
      </c>
      <c r="BB146" t="str">
        <f t="shared" si="9"/>
        <v xml:space="preserve">N690LS  </v>
      </c>
      <c r="BC146">
        <v>1</v>
      </c>
      <c r="BE146">
        <v>0</v>
      </c>
      <c r="BF146">
        <v>0</v>
      </c>
      <c r="BG146">
        <v>0</v>
      </c>
      <c r="BH146">
        <v>4275</v>
      </c>
      <c r="BI146">
        <v>1</v>
      </c>
      <c r="BJ146">
        <v>1</v>
      </c>
      <c r="BK146">
        <v>1</v>
      </c>
      <c r="BL146">
        <v>0</v>
      </c>
      <c r="BO146">
        <v>0</v>
      </c>
      <c r="BP146">
        <v>0</v>
      </c>
      <c r="BW146" t="str">
        <f>"13:51:42.245"</f>
        <v>13:51:42.245</v>
      </c>
      <c r="CJ146">
        <v>0</v>
      </c>
      <c r="CK146">
        <v>2</v>
      </c>
      <c r="CL146">
        <v>0</v>
      </c>
      <c r="CM146">
        <v>2</v>
      </c>
      <c r="CN146">
        <v>0</v>
      </c>
      <c r="CO146">
        <v>5</v>
      </c>
      <c r="CP146" t="s">
        <v>119</v>
      </c>
      <c r="CQ146">
        <v>209</v>
      </c>
      <c r="CR146">
        <v>3</v>
      </c>
      <c r="CW146">
        <v>7133598</v>
      </c>
      <c r="CY146">
        <v>1</v>
      </c>
      <c r="CZ146">
        <v>0</v>
      </c>
      <c r="DA146">
        <v>1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0</v>
      </c>
      <c r="DH146">
        <v>0</v>
      </c>
      <c r="DI146">
        <v>0</v>
      </c>
    </row>
    <row r="147" spans="1:113" x14ac:dyDescent="0.3">
      <c r="A147" t="str">
        <f>"09/28/2021 13:51:43.433"</f>
        <v>09/28/2021 13:51:43.433</v>
      </c>
      <c r="C147" t="str">
        <f t="shared" si="8"/>
        <v>FFDFD3C0</v>
      </c>
      <c r="D147" t="s">
        <v>120</v>
      </c>
      <c r="E147">
        <v>12</v>
      </c>
      <c r="F147">
        <v>1012</v>
      </c>
      <c r="G147" t="s">
        <v>114</v>
      </c>
      <c r="J147" t="s">
        <v>121</v>
      </c>
      <c r="K147">
        <v>0</v>
      </c>
      <c r="L147">
        <v>3</v>
      </c>
      <c r="M147">
        <v>0</v>
      </c>
      <c r="N147">
        <v>2</v>
      </c>
      <c r="O147">
        <v>1</v>
      </c>
      <c r="P147">
        <v>0</v>
      </c>
      <c r="Q147">
        <v>0</v>
      </c>
      <c r="S147" t="str">
        <f>"13:51:43.219"</f>
        <v>13:51:43.219</v>
      </c>
      <c r="T147" t="str">
        <f>"13:51:42.819"</f>
        <v>13:51:42.819</v>
      </c>
      <c r="U147" t="str">
        <f t="shared" si="10"/>
        <v>A92BC1</v>
      </c>
      <c r="V147">
        <v>0</v>
      </c>
      <c r="W147">
        <v>0</v>
      </c>
      <c r="X147">
        <v>2</v>
      </c>
      <c r="Z147">
        <v>0</v>
      </c>
      <c r="AA147">
        <v>9</v>
      </c>
      <c r="AB147">
        <v>3</v>
      </c>
      <c r="AC147">
        <v>0</v>
      </c>
      <c r="AD147">
        <v>10</v>
      </c>
      <c r="AE147">
        <v>0</v>
      </c>
      <c r="AF147">
        <v>3</v>
      </c>
      <c r="AG147">
        <v>2</v>
      </c>
      <c r="AH147">
        <v>0</v>
      </c>
      <c r="AI147" t="s">
        <v>250</v>
      </c>
      <c r="AJ147">
        <v>45.663879000000001</v>
      </c>
      <c r="AK147" t="s">
        <v>251</v>
      </c>
      <c r="AL147">
        <v>-89.500465000000005</v>
      </c>
      <c r="AM147">
        <v>100</v>
      </c>
      <c r="AN147">
        <v>4200</v>
      </c>
      <c r="AO147" t="s">
        <v>118</v>
      </c>
      <c r="AP147">
        <v>90</v>
      </c>
      <c r="AQ147">
        <v>128</v>
      </c>
      <c r="AR147">
        <v>2176</v>
      </c>
      <c r="AZ147">
        <v>1200</v>
      </c>
      <c r="BA147">
        <v>1</v>
      </c>
      <c r="BB147" t="str">
        <f t="shared" si="9"/>
        <v xml:space="preserve">N690LS  </v>
      </c>
      <c r="BC147">
        <v>1</v>
      </c>
      <c r="BE147">
        <v>0</v>
      </c>
      <c r="BF147">
        <v>0</v>
      </c>
      <c r="BG147">
        <v>0</v>
      </c>
      <c r="BH147">
        <v>4300</v>
      </c>
      <c r="BI147">
        <v>1</v>
      </c>
      <c r="BJ147">
        <v>1</v>
      </c>
      <c r="BK147">
        <v>1</v>
      </c>
      <c r="BL147">
        <v>0</v>
      </c>
      <c r="BO147">
        <v>0</v>
      </c>
      <c r="BP147">
        <v>0</v>
      </c>
      <c r="BW147" t="str">
        <f>"13:51:43.223"</f>
        <v>13:51:43.223</v>
      </c>
      <c r="CJ147">
        <v>0</v>
      </c>
      <c r="CK147">
        <v>2</v>
      </c>
      <c r="CL147">
        <v>0</v>
      </c>
      <c r="CM147">
        <v>2</v>
      </c>
      <c r="CN147">
        <v>0</v>
      </c>
      <c r="CO147">
        <v>7</v>
      </c>
      <c r="CP147" t="s">
        <v>119</v>
      </c>
      <c r="CQ147">
        <v>197</v>
      </c>
      <c r="CR147">
        <v>2</v>
      </c>
      <c r="CW147">
        <v>2155669</v>
      </c>
      <c r="CY147">
        <v>1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</row>
    <row r="148" spans="1:113" x14ac:dyDescent="0.3">
      <c r="A148" t="str">
        <f>"09/28/2021 13:51:43.448"</f>
        <v>09/28/2021 13:51:43.448</v>
      </c>
      <c r="C148" t="str">
        <f t="shared" si="8"/>
        <v>FFDFD3C0</v>
      </c>
      <c r="D148" t="s">
        <v>113</v>
      </c>
      <c r="E148">
        <v>7</v>
      </c>
      <c r="H148">
        <v>170</v>
      </c>
      <c r="I148" t="s">
        <v>114</v>
      </c>
      <c r="J148" t="s">
        <v>115</v>
      </c>
      <c r="K148">
        <v>0</v>
      </c>
      <c r="L148">
        <v>3</v>
      </c>
      <c r="M148">
        <v>0</v>
      </c>
      <c r="N148">
        <v>2</v>
      </c>
      <c r="O148">
        <v>1</v>
      </c>
      <c r="P148">
        <v>0</v>
      </c>
      <c r="Q148">
        <v>0</v>
      </c>
      <c r="S148" t="str">
        <f>"13:51:43.219"</f>
        <v>13:51:43.219</v>
      </c>
      <c r="T148" t="str">
        <f>"13:51:42.819"</f>
        <v>13:51:42.819</v>
      </c>
      <c r="U148" t="str">
        <f t="shared" si="10"/>
        <v>A92BC1</v>
      </c>
      <c r="V148">
        <v>0</v>
      </c>
      <c r="W148">
        <v>0</v>
      </c>
      <c r="X148">
        <v>2</v>
      </c>
      <c r="Z148">
        <v>0</v>
      </c>
      <c r="AA148">
        <v>9</v>
      </c>
      <c r="AB148">
        <v>3</v>
      </c>
      <c r="AC148">
        <v>0</v>
      </c>
      <c r="AD148">
        <v>10</v>
      </c>
      <c r="AE148">
        <v>0</v>
      </c>
      <c r="AF148">
        <v>3</v>
      </c>
      <c r="AG148">
        <v>2</v>
      </c>
      <c r="AH148">
        <v>0</v>
      </c>
      <c r="AI148" t="s">
        <v>250</v>
      </c>
      <c r="AJ148">
        <v>45.663879000000001</v>
      </c>
      <c r="AK148" t="s">
        <v>251</v>
      </c>
      <c r="AL148">
        <v>-89.500465000000005</v>
      </c>
      <c r="AM148">
        <v>100</v>
      </c>
      <c r="AN148">
        <v>4200</v>
      </c>
      <c r="AO148" t="s">
        <v>118</v>
      </c>
      <c r="AP148">
        <v>90</v>
      </c>
      <c r="AQ148">
        <v>128</v>
      </c>
      <c r="AR148">
        <v>2176</v>
      </c>
      <c r="AZ148">
        <v>1200</v>
      </c>
      <c r="BA148">
        <v>1</v>
      </c>
      <c r="BB148" t="str">
        <f t="shared" si="9"/>
        <v xml:space="preserve">N690LS  </v>
      </c>
      <c r="BC148">
        <v>1</v>
      </c>
      <c r="BE148">
        <v>0</v>
      </c>
      <c r="BF148">
        <v>0</v>
      </c>
      <c r="BG148">
        <v>0</v>
      </c>
      <c r="BH148">
        <v>4300</v>
      </c>
      <c r="BI148">
        <v>1</v>
      </c>
      <c r="BJ148">
        <v>1</v>
      </c>
      <c r="BK148">
        <v>1</v>
      </c>
      <c r="BL148">
        <v>0</v>
      </c>
      <c r="BO148">
        <v>0</v>
      </c>
      <c r="BP148">
        <v>0</v>
      </c>
      <c r="BW148" t="str">
        <f>"13:51:43.223"</f>
        <v>13:51:43.223</v>
      </c>
      <c r="CJ148">
        <v>0</v>
      </c>
      <c r="CK148">
        <v>2</v>
      </c>
      <c r="CL148">
        <v>0</v>
      </c>
      <c r="CM148">
        <v>2</v>
      </c>
      <c r="CN148">
        <v>0</v>
      </c>
      <c r="CO148">
        <v>7</v>
      </c>
      <c r="CP148" t="s">
        <v>119</v>
      </c>
      <c r="CQ148">
        <v>197</v>
      </c>
      <c r="CR148">
        <v>2</v>
      </c>
      <c r="CW148">
        <v>2155669</v>
      </c>
      <c r="CY148">
        <v>1</v>
      </c>
      <c r="CZ148">
        <v>0</v>
      </c>
      <c r="DA148">
        <v>1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</row>
    <row r="149" spans="1:113" x14ac:dyDescent="0.3">
      <c r="A149" t="str">
        <f>"09/28/2021 13:51:44.495"</f>
        <v>09/28/2021 13:51:44.495</v>
      </c>
      <c r="C149" t="str">
        <f t="shared" si="8"/>
        <v>FFDFD3C0</v>
      </c>
      <c r="D149" t="s">
        <v>113</v>
      </c>
      <c r="E149">
        <v>7</v>
      </c>
      <c r="H149">
        <v>170</v>
      </c>
      <c r="I149" t="s">
        <v>114</v>
      </c>
      <c r="J149" t="s">
        <v>115</v>
      </c>
      <c r="K149">
        <v>0</v>
      </c>
      <c r="L149">
        <v>3</v>
      </c>
      <c r="M149">
        <v>0</v>
      </c>
      <c r="N149">
        <v>2</v>
      </c>
      <c r="O149">
        <v>1</v>
      </c>
      <c r="P149">
        <v>0</v>
      </c>
      <c r="Q149">
        <v>0</v>
      </c>
      <c r="S149" t="str">
        <f>"13:51:44.328"</f>
        <v>13:51:44.328</v>
      </c>
      <c r="T149" t="str">
        <f>"13:51:43.828"</f>
        <v>13:51:43.828</v>
      </c>
      <c r="U149" t="str">
        <f t="shared" si="10"/>
        <v>A92BC1</v>
      </c>
      <c r="V149">
        <v>0</v>
      </c>
      <c r="W149">
        <v>0</v>
      </c>
      <c r="X149">
        <v>2</v>
      </c>
      <c r="Z149">
        <v>0</v>
      </c>
      <c r="AA149">
        <v>9</v>
      </c>
      <c r="AB149">
        <v>3</v>
      </c>
      <c r="AC149">
        <v>0</v>
      </c>
      <c r="AD149">
        <v>10</v>
      </c>
      <c r="AE149">
        <v>0</v>
      </c>
      <c r="AF149">
        <v>3</v>
      </c>
      <c r="AG149">
        <v>2</v>
      </c>
      <c r="AH149">
        <v>0</v>
      </c>
      <c r="AI149" t="s">
        <v>252</v>
      </c>
      <c r="AJ149">
        <v>45.664543999999999</v>
      </c>
      <c r="AK149" t="s">
        <v>253</v>
      </c>
      <c r="AL149">
        <v>-89.499713999999997</v>
      </c>
      <c r="AM149">
        <v>100</v>
      </c>
      <c r="AN149">
        <v>4300</v>
      </c>
      <c r="AO149" t="s">
        <v>118</v>
      </c>
      <c r="AP149">
        <v>93</v>
      </c>
      <c r="AQ149">
        <v>127</v>
      </c>
      <c r="AR149">
        <v>2112</v>
      </c>
      <c r="AZ149">
        <v>1200</v>
      </c>
      <c r="BA149">
        <v>1</v>
      </c>
      <c r="BB149" t="str">
        <f t="shared" si="9"/>
        <v xml:space="preserve">N690LS  </v>
      </c>
      <c r="BC149">
        <v>1</v>
      </c>
      <c r="BE149">
        <v>0</v>
      </c>
      <c r="BF149">
        <v>0</v>
      </c>
      <c r="BG149">
        <v>0</v>
      </c>
      <c r="BH149">
        <v>4350</v>
      </c>
      <c r="BI149">
        <v>1</v>
      </c>
      <c r="BJ149">
        <v>1</v>
      </c>
      <c r="BK149">
        <v>1</v>
      </c>
      <c r="BL149">
        <v>0</v>
      </c>
      <c r="BO149">
        <v>0</v>
      </c>
      <c r="BP149">
        <v>0</v>
      </c>
      <c r="BW149" t="str">
        <f>"13:51:44.330"</f>
        <v>13:51:44.330</v>
      </c>
      <c r="CJ149">
        <v>0</v>
      </c>
      <c r="CK149">
        <v>2</v>
      </c>
      <c r="CL149">
        <v>0</v>
      </c>
      <c r="CM149">
        <v>2</v>
      </c>
      <c r="CN149">
        <v>0</v>
      </c>
      <c r="CO149">
        <v>7</v>
      </c>
      <c r="CP149" t="s">
        <v>119</v>
      </c>
      <c r="CQ149">
        <v>197</v>
      </c>
      <c r="CR149">
        <v>2</v>
      </c>
      <c r="CW149">
        <v>2156684</v>
      </c>
      <c r="CY149">
        <v>1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</row>
    <row r="150" spans="1:113" x14ac:dyDescent="0.3">
      <c r="A150" t="str">
        <f>"09/28/2021 13:51:44.542"</f>
        <v>09/28/2021 13:51:44.542</v>
      </c>
      <c r="C150" t="str">
        <f t="shared" si="8"/>
        <v>FFDFD3C0</v>
      </c>
      <c r="D150" t="s">
        <v>120</v>
      </c>
      <c r="E150">
        <v>12</v>
      </c>
      <c r="F150">
        <v>1012</v>
      </c>
      <c r="G150" t="s">
        <v>114</v>
      </c>
      <c r="J150" t="s">
        <v>121</v>
      </c>
      <c r="K150">
        <v>0</v>
      </c>
      <c r="L150">
        <v>3</v>
      </c>
      <c r="M150">
        <v>0</v>
      </c>
      <c r="N150">
        <v>2</v>
      </c>
      <c r="O150">
        <v>1</v>
      </c>
      <c r="P150">
        <v>0</v>
      </c>
      <c r="Q150">
        <v>0</v>
      </c>
      <c r="S150" t="str">
        <f>"13:51:44.328"</f>
        <v>13:51:44.328</v>
      </c>
      <c r="T150" t="str">
        <f>"13:51:43.828"</f>
        <v>13:51:43.828</v>
      </c>
      <c r="U150" t="str">
        <f t="shared" si="10"/>
        <v>A92BC1</v>
      </c>
      <c r="V150">
        <v>0</v>
      </c>
      <c r="W150">
        <v>0</v>
      </c>
      <c r="X150">
        <v>2</v>
      </c>
      <c r="Z150">
        <v>0</v>
      </c>
      <c r="AA150">
        <v>9</v>
      </c>
      <c r="AB150">
        <v>3</v>
      </c>
      <c r="AC150">
        <v>0</v>
      </c>
      <c r="AD150">
        <v>10</v>
      </c>
      <c r="AE150">
        <v>0</v>
      </c>
      <c r="AF150">
        <v>3</v>
      </c>
      <c r="AG150">
        <v>2</v>
      </c>
      <c r="AH150">
        <v>0</v>
      </c>
      <c r="AI150" t="s">
        <v>252</v>
      </c>
      <c r="AJ150">
        <v>45.664543999999999</v>
      </c>
      <c r="AK150" t="s">
        <v>253</v>
      </c>
      <c r="AL150">
        <v>-89.499713999999997</v>
      </c>
      <c r="AM150">
        <v>100</v>
      </c>
      <c r="AN150">
        <v>4300</v>
      </c>
      <c r="AO150" t="s">
        <v>118</v>
      </c>
      <c r="AP150">
        <v>93</v>
      </c>
      <c r="AQ150">
        <v>127</v>
      </c>
      <c r="AR150">
        <v>2112</v>
      </c>
      <c r="AZ150">
        <v>1200</v>
      </c>
      <c r="BA150">
        <v>1</v>
      </c>
      <c r="BB150" t="str">
        <f t="shared" si="9"/>
        <v xml:space="preserve">N690LS  </v>
      </c>
      <c r="BC150">
        <v>1</v>
      </c>
      <c r="BE150">
        <v>0</v>
      </c>
      <c r="BF150">
        <v>0</v>
      </c>
      <c r="BG150">
        <v>0</v>
      </c>
      <c r="BH150">
        <v>4350</v>
      </c>
      <c r="BI150">
        <v>1</v>
      </c>
      <c r="BJ150">
        <v>1</v>
      </c>
      <c r="BK150">
        <v>1</v>
      </c>
      <c r="BL150">
        <v>0</v>
      </c>
      <c r="BO150">
        <v>0</v>
      </c>
      <c r="BP150">
        <v>0</v>
      </c>
      <c r="BW150" t="str">
        <f>"13:51:44.330"</f>
        <v>13:51:44.330</v>
      </c>
      <c r="CJ150">
        <v>0</v>
      </c>
      <c r="CK150">
        <v>2</v>
      </c>
      <c r="CL150">
        <v>0</v>
      </c>
      <c r="CM150">
        <v>2</v>
      </c>
      <c r="CN150">
        <v>0</v>
      </c>
      <c r="CO150">
        <v>7</v>
      </c>
      <c r="CP150" t="s">
        <v>119</v>
      </c>
      <c r="CQ150">
        <v>197</v>
      </c>
      <c r="CR150">
        <v>2</v>
      </c>
      <c r="CW150">
        <v>2156684</v>
      </c>
      <c r="CY150">
        <v>1</v>
      </c>
      <c r="CZ150">
        <v>0</v>
      </c>
      <c r="DA150">
        <v>1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</row>
    <row r="151" spans="1:113" x14ac:dyDescent="0.3">
      <c r="A151" t="str">
        <f>"09/28/2021 13:51:45.448"</f>
        <v>09/28/2021 13:51:45.448</v>
      </c>
      <c r="C151" t="str">
        <f t="shared" si="8"/>
        <v>FFDFD3C0</v>
      </c>
      <c r="D151" t="s">
        <v>120</v>
      </c>
      <c r="E151">
        <v>12</v>
      </c>
      <c r="F151">
        <v>1012</v>
      </c>
      <c r="G151" t="s">
        <v>114</v>
      </c>
      <c r="J151" t="s">
        <v>121</v>
      </c>
      <c r="K151">
        <v>0</v>
      </c>
      <c r="L151">
        <v>3</v>
      </c>
      <c r="M151">
        <v>0</v>
      </c>
      <c r="N151">
        <v>2</v>
      </c>
      <c r="O151">
        <v>1</v>
      </c>
      <c r="P151">
        <v>0</v>
      </c>
      <c r="Q151">
        <v>0</v>
      </c>
      <c r="S151" t="str">
        <f>"13:51:45.227"</f>
        <v>13:51:45.227</v>
      </c>
      <c r="T151" t="str">
        <f>"13:51:44.827"</f>
        <v>13:51:44.827</v>
      </c>
      <c r="U151" t="str">
        <f t="shared" si="10"/>
        <v>A92BC1</v>
      </c>
      <c r="V151">
        <v>0</v>
      </c>
      <c r="W151">
        <v>0</v>
      </c>
      <c r="X151">
        <v>2</v>
      </c>
      <c r="Z151">
        <v>0</v>
      </c>
      <c r="AA151">
        <v>9</v>
      </c>
      <c r="AB151">
        <v>3</v>
      </c>
      <c r="AC151">
        <v>0</v>
      </c>
      <c r="AD151">
        <v>10</v>
      </c>
      <c r="AE151">
        <v>0</v>
      </c>
      <c r="AF151">
        <v>3</v>
      </c>
      <c r="AG151">
        <v>2</v>
      </c>
      <c r="AH151">
        <v>0</v>
      </c>
      <c r="AI151" t="s">
        <v>254</v>
      </c>
      <c r="AJ151">
        <v>45.665038000000003</v>
      </c>
      <c r="AK151" t="s">
        <v>255</v>
      </c>
      <c r="AL151">
        <v>-89.499155999999999</v>
      </c>
      <c r="AM151">
        <v>100</v>
      </c>
      <c r="AN151">
        <v>4300</v>
      </c>
      <c r="AO151" t="s">
        <v>118</v>
      </c>
      <c r="AP151">
        <v>96</v>
      </c>
      <c r="AQ151">
        <v>125</v>
      </c>
      <c r="AR151">
        <v>2048</v>
      </c>
      <c r="AZ151">
        <v>1200</v>
      </c>
      <c r="BA151">
        <v>1</v>
      </c>
      <c r="BB151" t="str">
        <f t="shared" si="9"/>
        <v xml:space="preserve">N690LS  </v>
      </c>
      <c r="BC151">
        <v>1</v>
      </c>
      <c r="BE151">
        <v>0</v>
      </c>
      <c r="BF151">
        <v>0</v>
      </c>
      <c r="BG151">
        <v>0</v>
      </c>
      <c r="BH151">
        <v>4375</v>
      </c>
      <c r="BI151">
        <v>1</v>
      </c>
      <c r="BJ151">
        <v>1</v>
      </c>
      <c r="BK151">
        <v>1</v>
      </c>
      <c r="BL151">
        <v>0</v>
      </c>
      <c r="BO151">
        <v>0</v>
      </c>
      <c r="BP151">
        <v>0</v>
      </c>
      <c r="BW151" t="str">
        <f>"13:51:45.232"</f>
        <v>13:51:45.232</v>
      </c>
      <c r="CJ151">
        <v>0</v>
      </c>
      <c r="CK151">
        <v>2</v>
      </c>
      <c r="CL151">
        <v>0</v>
      </c>
      <c r="CM151">
        <v>2</v>
      </c>
      <c r="CN151">
        <v>0</v>
      </c>
      <c r="CO151">
        <v>6</v>
      </c>
      <c r="CP151" t="s">
        <v>119</v>
      </c>
      <c r="CQ151">
        <v>209</v>
      </c>
      <c r="CR151">
        <v>3</v>
      </c>
      <c r="CW151">
        <v>7134599</v>
      </c>
      <c r="CY151">
        <v>1</v>
      </c>
      <c r="CZ151">
        <v>0</v>
      </c>
      <c r="DA151">
        <v>0</v>
      </c>
      <c r="DB151">
        <v>0</v>
      </c>
      <c r="DC151">
        <v>0</v>
      </c>
      <c r="DD151">
        <v>0</v>
      </c>
      <c r="DE151">
        <v>0</v>
      </c>
      <c r="DF151">
        <v>0</v>
      </c>
      <c r="DG151">
        <v>0</v>
      </c>
      <c r="DH151">
        <v>0</v>
      </c>
      <c r="DI151">
        <v>0</v>
      </c>
    </row>
    <row r="152" spans="1:113" x14ac:dyDescent="0.3">
      <c r="A152" t="str">
        <f>"09/28/2021 13:51:45.480"</f>
        <v>09/28/2021 13:51:45.480</v>
      </c>
      <c r="C152" t="str">
        <f t="shared" si="8"/>
        <v>FFDFD3C0</v>
      </c>
      <c r="D152" t="s">
        <v>113</v>
      </c>
      <c r="E152">
        <v>7</v>
      </c>
      <c r="H152">
        <v>170</v>
      </c>
      <c r="I152" t="s">
        <v>114</v>
      </c>
      <c r="J152" t="s">
        <v>115</v>
      </c>
      <c r="K152">
        <v>0</v>
      </c>
      <c r="L152">
        <v>3</v>
      </c>
      <c r="M152">
        <v>0</v>
      </c>
      <c r="N152">
        <v>2</v>
      </c>
      <c r="O152">
        <v>1</v>
      </c>
      <c r="P152">
        <v>0</v>
      </c>
      <c r="Q152">
        <v>0</v>
      </c>
      <c r="S152" t="str">
        <f>"13:51:45.227"</f>
        <v>13:51:45.227</v>
      </c>
      <c r="T152" t="str">
        <f>"13:51:44.827"</f>
        <v>13:51:44.827</v>
      </c>
      <c r="U152" t="str">
        <f t="shared" si="10"/>
        <v>A92BC1</v>
      </c>
      <c r="V152">
        <v>0</v>
      </c>
      <c r="W152">
        <v>0</v>
      </c>
      <c r="X152">
        <v>2</v>
      </c>
      <c r="Z152">
        <v>0</v>
      </c>
      <c r="AA152">
        <v>9</v>
      </c>
      <c r="AB152">
        <v>3</v>
      </c>
      <c r="AC152">
        <v>0</v>
      </c>
      <c r="AD152">
        <v>10</v>
      </c>
      <c r="AE152">
        <v>0</v>
      </c>
      <c r="AF152">
        <v>3</v>
      </c>
      <c r="AG152">
        <v>2</v>
      </c>
      <c r="AH152">
        <v>0</v>
      </c>
      <c r="AI152" t="s">
        <v>254</v>
      </c>
      <c r="AJ152">
        <v>45.665038000000003</v>
      </c>
      <c r="AK152" t="s">
        <v>255</v>
      </c>
      <c r="AL152">
        <v>-89.499155999999999</v>
      </c>
      <c r="AM152">
        <v>100</v>
      </c>
      <c r="AN152">
        <v>4300</v>
      </c>
      <c r="AO152" t="s">
        <v>118</v>
      </c>
      <c r="AP152">
        <v>96</v>
      </c>
      <c r="AQ152">
        <v>125</v>
      </c>
      <c r="AR152">
        <v>2048</v>
      </c>
      <c r="AZ152">
        <v>1200</v>
      </c>
      <c r="BA152">
        <v>1</v>
      </c>
      <c r="BB152" t="str">
        <f t="shared" si="9"/>
        <v xml:space="preserve">N690LS  </v>
      </c>
      <c r="BC152">
        <v>1</v>
      </c>
      <c r="BE152">
        <v>0</v>
      </c>
      <c r="BF152">
        <v>0</v>
      </c>
      <c r="BG152">
        <v>0</v>
      </c>
      <c r="BH152">
        <v>4375</v>
      </c>
      <c r="BI152">
        <v>1</v>
      </c>
      <c r="BJ152">
        <v>1</v>
      </c>
      <c r="BK152">
        <v>1</v>
      </c>
      <c r="BL152">
        <v>0</v>
      </c>
      <c r="BO152">
        <v>0</v>
      </c>
      <c r="BP152">
        <v>0</v>
      </c>
      <c r="BW152" t="str">
        <f>"13:51:45.232"</f>
        <v>13:51:45.232</v>
      </c>
      <c r="CJ152">
        <v>0</v>
      </c>
      <c r="CK152">
        <v>2</v>
      </c>
      <c r="CL152">
        <v>0</v>
      </c>
      <c r="CM152">
        <v>2</v>
      </c>
      <c r="CN152">
        <v>0</v>
      </c>
      <c r="CO152">
        <v>6</v>
      </c>
      <c r="CP152" t="s">
        <v>119</v>
      </c>
      <c r="CQ152">
        <v>209</v>
      </c>
      <c r="CR152">
        <v>3</v>
      </c>
      <c r="CW152">
        <v>7134599</v>
      </c>
      <c r="CY152">
        <v>1</v>
      </c>
      <c r="CZ152">
        <v>0</v>
      </c>
      <c r="DA152">
        <v>1</v>
      </c>
      <c r="DB152">
        <v>0</v>
      </c>
      <c r="DC152">
        <v>0</v>
      </c>
      <c r="DD152">
        <v>0</v>
      </c>
      <c r="DE152">
        <v>0</v>
      </c>
      <c r="DF152">
        <v>0</v>
      </c>
      <c r="DG152">
        <v>0</v>
      </c>
      <c r="DH152">
        <v>0</v>
      </c>
      <c r="DI152">
        <v>0</v>
      </c>
    </row>
    <row r="153" spans="1:113" x14ac:dyDescent="0.3">
      <c r="A153" t="str">
        <f>"09/28/2021 13:51:46.433"</f>
        <v>09/28/2021 13:51:46.433</v>
      </c>
      <c r="C153" t="str">
        <f t="shared" si="8"/>
        <v>FFDFD3C0</v>
      </c>
      <c r="D153" t="s">
        <v>113</v>
      </c>
      <c r="E153">
        <v>7</v>
      </c>
      <c r="H153">
        <v>170</v>
      </c>
      <c r="I153" t="s">
        <v>114</v>
      </c>
      <c r="J153" t="s">
        <v>115</v>
      </c>
      <c r="K153">
        <v>0</v>
      </c>
      <c r="L153">
        <v>3</v>
      </c>
      <c r="M153">
        <v>0</v>
      </c>
      <c r="N153">
        <v>2</v>
      </c>
      <c r="O153">
        <v>1</v>
      </c>
      <c r="P153">
        <v>0</v>
      </c>
      <c r="Q153">
        <v>0</v>
      </c>
      <c r="S153" t="str">
        <f>"13:51:46.227"</f>
        <v>13:51:46.227</v>
      </c>
      <c r="T153" t="str">
        <f>"13:51:45.827"</f>
        <v>13:51:45.827</v>
      </c>
      <c r="U153" t="str">
        <f t="shared" si="10"/>
        <v>A92BC1</v>
      </c>
      <c r="V153">
        <v>0</v>
      </c>
      <c r="W153">
        <v>0</v>
      </c>
      <c r="X153">
        <v>2</v>
      </c>
      <c r="Z153">
        <v>0</v>
      </c>
      <c r="AA153">
        <v>9</v>
      </c>
      <c r="AB153">
        <v>3</v>
      </c>
      <c r="AC153">
        <v>0</v>
      </c>
      <c r="AD153">
        <v>10</v>
      </c>
      <c r="AE153">
        <v>0</v>
      </c>
      <c r="AF153">
        <v>3</v>
      </c>
      <c r="AG153">
        <v>2</v>
      </c>
      <c r="AH153">
        <v>0</v>
      </c>
      <c r="AI153" t="s">
        <v>256</v>
      </c>
      <c r="AJ153">
        <v>45.665596000000001</v>
      </c>
      <c r="AK153" t="s">
        <v>257</v>
      </c>
      <c r="AL153">
        <v>-89.498534000000006</v>
      </c>
      <c r="AM153">
        <v>100</v>
      </c>
      <c r="AN153">
        <v>4300</v>
      </c>
      <c r="AO153" t="s">
        <v>118</v>
      </c>
      <c r="AP153">
        <v>99</v>
      </c>
      <c r="AQ153">
        <v>124</v>
      </c>
      <c r="AR153">
        <v>1984</v>
      </c>
      <c r="AZ153">
        <v>1200</v>
      </c>
      <c r="BA153">
        <v>1</v>
      </c>
      <c r="BB153" t="str">
        <f t="shared" si="9"/>
        <v xml:space="preserve">N690LS  </v>
      </c>
      <c r="BC153">
        <v>1</v>
      </c>
      <c r="BE153">
        <v>0</v>
      </c>
      <c r="BF153">
        <v>0</v>
      </c>
      <c r="BG153">
        <v>0</v>
      </c>
      <c r="BH153">
        <v>4400</v>
      </c>
      <c r="BI153">
        <v>1</v>
      </c>
      <c r="BJ153">
        <v>1</v>
      </c>
      <c r="BK153">
        <v>1</v>
      </c>
      <c r="BL153">
        <v>0</v>
      </c>
      <c r="BO153">
        <v>0</v>
      </c>
      <c r="BP153">
        <v>0</v>
      </c>
      <c r="BW153" t="str">
        <f>"13:51:46.231"</f>
        <v>13:51:46.231</v>
      </c>
      <c r="CJ153">
        <v>0</v>
      </c>
      <c r="CK153">
        <v>2</v>
      </c>
      <c r="CL153">
        <v>0</v>
      </c>
      <c r="CM153">
        <v>2</v>
      </c>
      <c r="CN153">
        <v>0</v>
      </c>
      <c r="CO153">
        <v>6</v>
      </c>
      <c r="CP153" t="s">
        <v>119</v>
      </c>
      <c r="CQ153">
        <v>209</v>
      </c>
      <c r="CR153">
        <v>3</v>
      </c>
      <c r="CW153">
        <v>7134966</v>
      </c>
      <c r="CY153">
        <v>1</v>
      </c>
      <c r="CZ153">
        <v>0</v>
      </c>
      <c r="DA153">
        <v>0</v>
      </c>
      <c r="DB153">
        <v>0</v>
      </c>
      <c r="DC153">
        <v>0</v>
      </c>
      <c r="DD153">
        <v>0</v>
      </c>
      <c r="DE153">
        <v>0</v>
      </c>
      <c r="DF153">
        <v>0</v>
      </c>
      <c r="DG153">
        <v>0</v>
      </c>
      <c r="DH153">
        <v>0</v>
      </c>
      <c r="DI153">
        <v>0</v>
      </c>
    </row>
    <row r="154" spans="1:113" x14ac:dyDescent="0.3">
      <c r="A154" t="str">
        <f>"09/28/2021 13:51:46.433"</f>
        <v>09/28/2021 13:51:46.433</v>
      </c>
      <c r="C154" t="str">
        <f t="shared" si="8"/>
        <v>FFDFD3C0</v>
      </c>
      <c r="D154" t="s">
        <v>120</v>
      </c>
      <c r="E154">
        <v>12</v>
      </c>
      <c r="F154">
        <v>1012</v>
      </c>
      <c r="G154" t="s">
        <v>114</v>
      </c>
      <c r="J154" t="s">
        <v>121</v>
      </c>
      <c r="K154">
        <v>0</v>
      </c>
      <c r="L154">
        <v>3</v>
      </c>
      <c r="M154">
        <v>0</v>
      </c>
      <c r="N154">
        <v>2</v>
      </c>
      <c r="O154">
        <v>1</v>
      </c>
      <c r="P154">
        <v>0</v>
      </c>
      <c r="Q154">
        <v>0</v>
      </c>
      <c r="S154" t="str">
        <f>"13:51:46.227"</f>
        <v>13:51:46.227</v>
      </c>
      <c r="T154" t="str">
        <f>"13:51:45.827"</f>
        <v>13:51:45.827</v>
      </c>
      <c r="U154" t="str">
        <f t="shared" si="10"/>
        <v>A92BC1</v>
      </c>
      <c r="V154">
        <v>0</v>
      </c>
      <c r="W154">
        <v>0</v>
      </c>
      <c r="X154">
        <v>2</v>
      </c>
      <c r="Z154">
        <v>0</v>
      </c>
      <c r="AA154">
        <v>9</v>
      </c>
      <c r="AB154">
        <v>3</v>
      </c>
      <c r="AC154">
        <v>0</v>
      </c>
      <c r="AD154">
        <v>10</v>
      </c>
      <c r="AE154">
        <v>0</v>
      </c>
      <c r="AF154">
        <v>3</v>
      </c>
      <c r="AG154">
        <v>2</v>
      </c>
      <c r="AH154">
        <v>0</v>
      </c>
      <c r="AI154" t="s">
        <v>256</v>
      </c>
      <c r="AJ154">
        <v>45.665596000000001</v>
      </c>
      <c r="AK154" t="s">
        <v>257</v>
      </c>
      <c r="AL154">
        <v>-89.498534000000006</v>
      </c>
      <c r="AM154">
        <v>100</v>
      </c>
      <c r="AN154">
        <v>4300</v>
      </c>
      <c r="AO154" t="s">
        <v>118</v>
      </c>
      <c r="AP154">
        <v>99</v>
      </c>
      <c r="AQ154">
        <v>124</v>
      </c>
      <c r="AR154">
        <v>1984</v>
      </c>
      <c r="AZ154">
        <v>1200</v>
      </c>
      <c r="BA154">
        <v>1</v>
      </c>
      <c r="BB154" t="str">
        <f t="shared" si="9"/>
        <v xml:space="preserve">N690LS  </v>
      </c>
      <c r="BC154">
        <v>1</v>
      </c>
      <c r="BE154">
        <v>0</v>
      </c>
      <c r="BF154">
        <v>0</v>
      </c>
      <c r="BG154">
        <v>0</v>
      </c>
      <c r="BH154">
        <v>4400</v>
      </c>
      <c r="BI154">
        <v>1</v>
      </c>
      <c r="BJ154">
        <v>1</v>
      </c>
      <c r="BK154">
        <v>1</v>
      </c>
      <c r="BL154">
        <v>0</v>
      </c>
      <c r="BO154">
        <v>0</v>
      </c>
      <c r="BP154">
        <v>0</v>
      </c>
      <c r="BW154" t="str">
        <f>"13:51:46.231"</f>
        <v>13:51:46.231</v>
      </c>
      <c r="CJ154">
        <v>0</v>
      </c>
      <c r="CK154">
        <v>2</v>
      </c>
      <c r="CL154">
        <v>0</v>
      </c>
      <c r="CM154">
        <v>2</v>
      </c>
      <c r="CN154">
        <v>0</v>
      </c>
      <c r="CO154">
        <v>6</v>
      </c>
      <c r="CP154" t="s">
        <v>119</v>
      </c>
      <c r="CQ154">
        <v>209</v>
      </c>
      <c r="CR154">
        <v>3</v>
      </c>
      <c r="CW154">
        <v>7134966</v>
      </c>
      <c r="CY154">
        <v>1</v>
      </c>
      <c r="CZ154">
        <v>0</v>
      </c>
      <c r="DA154">
        <v>1</v>
      </c>
      <c r="DB154">
        <v>0</v>
      </c>
      <c r="DC154">
        <v>0</v>
      </c>
      <c r="DD154">
        <v>0</v>
      </c>
      <c r="DE154">
        <v>0</v>
      </c>
      <c r="DF154">
        <v>0</v>
      </c>
      <c r="DG154">
        <v>0</v>
      </c>
      <c r="DH154">
        <v>0</v>
      </c>
      <c r="DI154">
        <v>0</v>
      </c>
    </row>
    <row r="155" spans="1:113" x14ac:dyDescent="0.3">
      <c r="A155" t="str">
        <f>"09/28/2021 13:51:47.460"</f>
        <v>09/28/2021 13:51:47.460</v>
      </c>
      <c r="C155" t="str">
        <f t="shared" si="8"/>
        <v>FFDFD3C0</v>
      </c>
      <c r="D155" t="s">
        <v>113</v>
      </c>
      <c r="E155">
        <v>7</v>
      </c>
      <c r="H155">
        <v>170</v>
      </c>
      <c r="I155" t="s">
        <v>114</v>
      </c>
      <c r="J155" t="s">
        <v>115</v>
      </c>
      <c r="K155">
        <v>0</v>
      </c>
      <c r="L155">
        <v>3</v>
      </c>
      <c r="M155">
        <v>0</v>
      </c>
      <c r="N155">
        <v>2</v>
      </c>
      <c r="O155">
        <v>1</v>
      </c>
      <c r="P155">
        <v>0</v>
      </c>
      <c r="Q155">
        <v>0</v>
      </c>
      <c r="S155" t="str">
        <f>"13:51:47.242"</f>
        <v>13:51:47.242</v>
      </c>
      <c r="T155" t="str">
        <f>"13:51:46.742"</f>
        <v>13:51:46.742</v>
      </c>
      <c r="U155" t="str">
        <f t="shared" si="10"/>
        <v>A92BC1</v>
      </c>
      <c r="V155">
        <v>0</v>
      </c>
      <c r="W155">
        <v>0</v>
      </c>
      <c r="X155">
        <v>2</v>
      </c>
      <c r="Z155">
        <v>0</v>
      </c>
      <c r="AA155">
        <v>9</v>
      </c>
      <c r="AB155">
        <v>3</v>
      </c>
      <c r="AC155">
        <v>0</v>
      </c>
      <c r="AD155">
        <v>10</v>
      </c>
      <c r="AE155">
        <v>0</v>
      </c>
      <c r="AF155">
        <v>3</v>
      </c>
      <c r="AG155">
        <v>2</v>
      </c>
      <c r="AH155">
        <v>0</v>
      </c>
      <c r="AI155" t="s">
        <v>258</v>
      </c>
      <c r="AJ155">
        <v>45.666153000000001</v>
      </c>
      <c r="AK155" t="s">
        <v>259</v>
      </c>
      <c r="AL155">
        <v>-89.497848000000005</v>
      </c>
      <c r="AM155">
        <v>100</v>
      </c>
      <c r="AN155">
        <v>4400</v>
      </c>
      <c r="AO155" t="s">
        <v>118</v>
      </c>
      <c r="AP155">
        <v>102</v>
      </c>
      <c r="AQ155">
        <v>122</v>
      </c>
      <c r="AR155">
        <v>1920</v>
      </c>
      <c r="AZ155">
        <v>1200</v>
      </c>
      <c r="BA155">
        <v>1</v>
      </c>
      <c r="BB155" t="str">
        <f t="shared" si="9"/>
        <v xml:space="preserve">N690LS  </v>
      </c>
      <c r="BC155">
        <v>1</v>
      </c>
      <c r="BE155">
        <v>0</v>
      </c>
      <c r="BF155">
        <v>0</v>
      </c>
      <c r="BG155">
        <v>0</v>
      </c>
      <c r="BH155">
        <v>4450</v>
      </c>
      <c r="BI155">
        <v>1</v>
      </c>
      <c r="BJ155">
        <v>1</v>
      </c>
      <c r="BK155">
        <v>1</v>
      </c>
      <c r="BL155">
        <v>0</v>
      </c>
      <c r="BO155">
        <v>0</v>
      </c>
      <c r="BP155">
        <v>0</v>
      </c>
      <c r="BW155" t="str">
        <f>"13:51:47.248"</f>
        <v>13:51:47.248</v>
      </c>
      <c r="CJ155">
        <v>0</v>
      </c>
      <c r="CK155">
        <v>2</v>
      </c>
      <c r="CL155">
        <v>0</v>
      </c>
      <c r="CM155">
        <v>2</v>
      </c>
      <c r="CN155">
        <v>0</v>
      </c>
      <c r="CO155">
        <v>7</v>
      </c>
      <c r="CP155" t="s">
        <v>119</v>
      </c>
      <c r="CQ155">
        <v>197</v>
      </c>
      <c r="CR155">
        <v>2</v>
      </c>
      <c r="CW155">
        <v>2159572</v>
      </c>
      <c r="CY155">
        <v>1</v>
      </c>
      <c r="CZ155">
        <v>0</v>
      </c>
      <c r="DA155">
        <v>0</v>
      </c>
      <c r="DB155">
        <v>0</v>
      </c>
      <c r="DC155">
        <v>0</v>
      </c>
      <c r="DD155">
        <v>0</v>
      </c>
      <c r="DE155">
        <v>0</v>
      </c>
      <c r="DF155">
        <v>0</v>
      </c>
      <c r="DG155">
        <v>0</v>
      </c>
      <c r="DH155">
        <v>0</v>
      </c>
      <c r="DI155">
        <v>0</v>
      </c>
    </row>
    <row r="156" spans="1:113" x14ac:dyDescent="0.3">
      <c r="A156" t="str">
        <f>"09/28/2021 13:51:47.460"</f>
        <v>09/28/2021 13:51:47.460</v>
      </c>
      <c r="C156" t="str">
        <f t="shared" si="8"/>
        <v>FFDFD3C0</v>
      </c>
      <c r="D156" t="s">
        <v>120</v>
      </c>
      <c r="E156">
        <v>12</v>
      </c>
      <c r="F156">
        <v>1012</v>
      </c>
      <c r="G156" t="s">
        <v>114</v>
      </c>
      <c r="J156" t="s">
        <v>121</v>
      </c>
      <c r="K156">
        <v>0</v>
      </c>
      <c r="L156">
        <v>3</v>
      </c>
      <c r="M156">
        <v>0</v>
      </c>
      <c r="N156">
        <v>2</v>
      </c>
      <c r="O156">
        <v>1</v>
      </c>
      <c r="P156">
        <v>0</v>
      </c>
      <c r="Q156">
        <v>0</v>
      </c>
      <c r="S156" t="str">
        <f>"13:51:47.242"</f>
        <v>13:51:47.242</v>
      </c>
      <c r="T156" t="str">
        <f>"13:51:46.742"</f>
        <v>13:51:46.742</v>
      </c>
      <c r="U156" t="str">
        <f t="shared" si="10"/>
        <v>A92BC1</v>
      </c>
      <c r="V156">
        <v>0</v>
      </c>
      <c r="W156">
        <v>0</v>
      </c>
      <c r="X156">
        <v>2</v>
      </c>
      <c r="Z156">
        <v>0</v>
      </c>
      <c r="AA156">
        <v>9</v>
      </c>
      <c r="AB156">
        <v>3</v>
      </c>
      <c r="AC156">
        <v>0</v>
      </c>
      <c r="AD156">
        <v>10</v>
      </c>
      <c r="AE156">
        <v>0</v>
      </c>
      <c r="AF156">
        <v>3</v>
      </c>
      <c r="AG156">
        <v>2</v>
      </c>
      <c r="AH156">
        <v>0</v>
      </c>
      <c r="AI156" t="s">
        <v>258</v>
      </c>
      <c r="AJ156">
        <v>45.666153000000001</v>
      </c>
      <c r="AK156" t="s">
        <v>259</v>
      </c>
      <c r="AL156">
        <v>-89.497848000000005</v>
      </c>
      <c r="AM156">
        <v>100</v>
      </c>
      <c r="AN156">
        <v>4400</v>
      </c>
      <c r="AO156" t="s">
        <v>118</v>
      </c>
      <c r="AP156">
        <v>102</v>
      </c>
      <c r="AQ156">
        <v>122</v>
      </c>
      <c r="AR156">
        <v>1920</v>
      </c>
      <c r="AZ156">
        <v>1200</v>
      </c>
      <c r="BA156">
        <v>1</v>
      </c>
      <c r="BB156" t="str">
        <f t="shared" si="9"/>
        <v xml:space="preserve">N690LS  </v>
      </c>
      <c r="BC156">
        <v>1</v>
      </c>
      <c r="BE156">
        <v>0</v>
      </c>
      <c r="BF156">
        <v>0</v>
      </c>
      <c r="BG156">
        <v>0</v>
      </c>
      <c r="BH156">
        <v>4450</v>
      </c>
      <c r="BI156">
        <v>1</v>
      </c>
      <c r="BJ156">
        <v>1</v>
      </c>
      <c r="BK156">
        <v>1</v>
      </c>
      <c r="BL156">
        <v>0</v>
      </c>
      <c r="BO156">
        <v>0</v>
      </c>
      <c r="BP156">
        <v>0</v>
      </c>
      <c r="BW156" t="str">
        <f>"13:51:47.248"</f>
        <v>13:51:47.248</v>
      </c>
      <c r="CJ156">
        <v>0</v>
      </c>
      <c r="CK156">
        <v>2</v>
      </c>
      <c r="CL156">
        <v>0</v>
      </c>
      <c r="CM156">
        <v>2</v>
      </c>
      <c r="CN156">
        <v>0</v>
      </c>
      <c r="CO156">
        <v>7</v>
      </c>
      <c r="CP156" t="s">
        <v>119</v>
      </c>
      <c r="CQ156">
        <v>197</v>
      </c>
      <c r="CR156">
        <v>2</v>
      </c>
      <c r="CW156">
        <v>2159572</v>
      </c>
      <c r="CY156">
        <v>1</v>
      </c>
      <c r="CZ156">
        <v>0</v>
      </c>
      <c r="DA156">
        <v>1</v>
      </c>
      <c r="DB156">
        <v>0</v>
      </c>
      <c r="DC156">
        <v>0</v>
      </c>
      <c r="DD156">
        <v>0</v>
      </c>
      <c r="DE156">
        <v>0</v>
      </c>
      <c r="DF156">
        <v>0</v>
      </c>
      <c r="DG156">
        <v>0</v>
      </c>
      <c r="DH156">
        <v>0</v>
      </c>
      <c r="DI156">
        <v>0</v>
      </c>
    </row>
    <row r="157" spans="1:113" x14ac:dyDescent="0.3">
      <c r="A157" t="str">
        <f>"09/28/2021 13:51:48.523"</f>
        <v>09/28/2021 13:51:48.523</v>
      </c>
      <c r="C157" t="str">
        <f t="shared" si="8"/>
        <v>FFDFD3C0</v>
      </c>
      <c r="D157" t="s">
        <v>120</v>
      </c>
      <c r="E157">
        <v>12</v>
      </c>
      <c r="F157">
        <v>1012</v>
      </c>
      <c r="G157" t="s">
        <v>114</v>
      </c>
      <c r="J157" t="s">
        <v>121</v>
      </c>
      <c r="K157">
        <v>0</v>
      </c>
      <c r="L157">
        <v>3</v>
      </c>
      <c r="M157">
        <v>0</v>
      </c>
      <c r="N157">
        <v>2</v>
      </c>
      <c r="O157">
        <v>1</v>
      </c>
      <c r="P157">
        <v>0</v>
      </c>
      <c r="Q157">
        <v>0</v>
      </c>
      <c r="S157" t="str">
        <f>"13:51:48.328"</f>
        <v>13:51:48.328</v>
      </c>
      <c r="T157" t="str">
        <f>"13:51:47.928"</f>
        <v>13:51:47.928</v>
      </c>
      <c r="U157" t="str">
        <f t="shared" si="10"/>
        <v>A92BC1</v>
      </c>
      <c r="V157">
        <v>0</v>
      </c>
      <c r="W157">
        <v>0</v>
      </c>
      <c r="X157">
        <v>2</v>
      </c>
      <c r="Z157">
        <v>0</v>
      </c>
      <c r="AA157">
        <v>9</v>
      </c>
      <c r="AB157">
        <v>3</v>
      </c>
      <c r="AC157">
        <v>0</v>
      </c>
      <c r="AD157">
        <v>10</v>
      </c>
      <c r="AE157">
        <v>0</v>
      </c>
      <c r="AF157">
        <v>3</v>
      </c>
      <c r="AG157">
        <v>2</v>
      </c>
      <c r="AH157">
        <v>0</v>
      </c>
      <c r="AI157" t="s">
        <v>260</v>
      </c>
      <c r="AJ157">
        <v>45.666775999999999</v>
      </c>
      <c r="AK157" t="s">
        <v>261</v>
      </c>
      <c r="AL157">
        <v>-89.497032000000004</v>
      </c>
      <c r="AM157">
        <v>100</v>
      </c>
      <c r="AN157">
        <v>4400</v>
      </c>
      <c r="AO157" t="s">
        <v>118</v>
      </c>
      <c r="AP157">
        <v>106</v>
      </c>
      <c r="AQ157">
        <v>119</v>
      </c>
      <c r="AR157">
        <v>1920</v>
      </c>
      <c r="AZ157">
        <v>1200</v>
      </c>
      <c r="BA157">
        <v>1</v>
      </c>
      <c r="BB157" t="str">
        <f t="shared" si="9"/>
        <v xml:space="preserve">N690LS  </v>
      </c>
      <c r="BC157">
        <v>1</v>
      </c>
      <c r="BE157">
        <v>0</v>
      </c>
      <c r="BF157">
        <v>0</v>
      </c>
      <c r="BG157">
        <v>0</v>
      </c>
      <c r="BH157">
        <v>4475</v>
      </c>
      <c r="BI157">
        <v>1</v>
      </c>
      <c r="BJ157">
        <v>1</v>
      </c>
      <c r="BK157">
        <v>1</v>
      </c>
      <c r="BL157">
        <v>0</v>
      </c>
      <c r="BO157">
        <v>0</v>
      </c>
      <c r="BP157">
        <v>0</v>
      </c>
      <c r="BW157" t="str">
        <f>"13:51:48.331"</f>
        <v>13:51:48.331</v>
      </c>
      <c r="CJ157">
        <v>0</v>
      </c>
      <c r="CK157">
        <v>2</v>
      </c>
      <c r="CL157">
        <v>0</v>
      </c>
      <c r="CM157">
        <v>2</v>
      </c>
      <c r="CN157">
        <v>0</v>
      </c>
      <c r="CO157">
        <v>7</v>
      </c>
      <c r="CP157" t="s">
        <v>119</v>
      </c>
      <c r="CQ157">
        <v>197</v>
      </c>
      <c r="CR157">
        <v>2</v>
      </c>
      <c r="CW157">
        <v>2160626</v>
      </c>
      <c r="CY157">
        <v>1</v>
      </c>
      <c r="CZ157">
        <v>0</v>
      </c>
      <c r="DA157">
        <v>0</v>
      </c>
      <c r="DB157">
        <v>0</v>
      </c>
      <c r="DC157">
        <v>0</v>
      </c>
      <c r="DD157">
        <v>0</v>
      </c>
      <c r="DE157">
        <v>0</v>
      </c>
      <c r="DF157">
        <v>0</v>
      </c>
      <c r="DG157">
        <v>0</v>
      </c>
      <c r="DH157">
        <v>0</v>
      </c>
      <c r="DI157">
        <v>0</v>
      </c>
    </row>
    <row r="158" spans="1:113" x14ac:dyDescent="0.3">
      <c r="A158" t="str">
        <f>"09/28/2021 13:51:48.555"</f>
        <v>09/28/2021 13:51:48.555</v>
      </c>
      <c r="C158" t="str">
        <f t="shared" si="8"/>
        <v>FFDFD3C0</v>
      </c>
      <c r="D158" t="s">
        <v>113</v>
      </c>
      <c r="E158">
        <v>7</v>
      </c>
      <c r="H158">
        <v>170</v>
      </c>
      <c r="I158" t="s">
        <v>114</v>
      </c>
      <c r="J158" t="s">
        <v>115</v>
      </c>
      <c r="K158">
        <v>0</v>
      </c>
      <c r="L158">
        <v>3</v>
      </c>
      <c r="M158">
        <v>0</v>
      </c>
      <c r="N158">
        <v>2</v>
      </c>
      <c r="O158">
        <v>1</v>
      </c>
      <c r="P158">
        <v>0</v>
      </c>
      <c r="Q158">
        <v>0</v>
      </c>
      <c r="S158" t="str">
        <f>"13:51:48.328"</f>
        <v>13:51:48.328</v>
      </c>
      <c r="T158" t="str">
        <f>"13:51:47.928"</f>
        <v>13:51:47.928</v>
      </c>
      <c r="U158" t="str">
        <f t="shared" si="10"/>
        <v>A92BC1</v>
      </c>
      <c r="V158">
        <v>0</v>
      </c>
      <c r="W158">
        <v>0</v>
      </c>
      <c r="X158">
        <v>2</v>
      </c>
      <c r="Z158">
        <v>0</v>
      </c>
      <c r="AA158">
        <v>9</v>
      </c>
      <c r="AB158">
        <v>3</v>
      </c>
      <c r="AC158">
        <v>0</v>
      </c>
      <c r="AD158">
        <v>10</v>
      </c>
      <c r="AE158">
        <v>0</v>
      </c>
      <c r="AF158">
        <v>3</v>
      </c>
      <c r="AG158">
        <v>2</v>
      </c>
      <c r="AH158">
        <v>0</v>
      </c>
      <c r="AI158" t="s">
        <v>260</v>
      </c>
      <c r="AJ158">
        <v>45.666775999999999</v>
      </c>
      <c r="AK158" t="s">
        <v>261</v>
      </c>
      <c r="AL158">
        <v>-89.497032000000004</v>
      </c>
      <c r="AM158">
        <v>100</v>
      </c>
      <c r="AN158">
        <v>4400</v>
      </c>
      <c r="AO158" t="s">
        <v>118</v>
      </c>
      <c r="AP158">
        <v>106</v>
      </c>
      <c r="AQ158">
        <v>119</v>
      </c>
      <c r="AR158">
        <v>1920</v>
      </c>
      <c r="AZ158">
        <v>1200</v>
      </c>
      <c r="BA158">
        <v>1</v>
      </c>
      <c r="BB158" t="str">
        <f t="shared" si="9"/>
        <v xml:space="preserve">N690LS  </v>
      </c>
      <c r="BC158">
        <v>1</v>
      </c>
      <c r="BE158">
        <v>0</v>
      </c>
      <c r="BF158">
        <v>0</v>
      </c>
      <c r="BG158">
        <v>0</v>
      </c>
      <c r="BH158">
        <v>4475</v>
      </c>
      <c r="BI158">
        <v>1</v>
      </c>
      <c r="BJ158">
        <v>1</v>
      </c>
      <c r="BK158">
        <v>1</v>
      </c>
      <c r="BL158">
        <v>0</v>
      </c>
      <c r="BO158">
        <v>0</v>
      </c>
      <c r="BP158">
        <v>0</v>
      </c>
      <c r="BW158" t="str">
        <f>"13:51:48.331"</f>
        <v>13:51:48.331</v>
      </c>
      <c r="CJ158">
        <v>0</v>
      </c>
      <c r="CK158">
        <v>2</v>
      </c>
      <c r="CL158">
        <v>0</v>
      </c>
      <c r="CM158">
        <v>2</v>
      </c>
      <c r="CN158">
        <v>0</v>
      </c>
      <c r="CO158">
        <v>7</v>
      </c>
      <c r="CP158" t="s">
        <v>119</v>
      </c>
      <c r="CQ158">
        <v>197</v>
      </c>
      <c r="CR158">
        <v>2</v>
      </c>
      <c r="CW158">
        <v>2160626</v>
      </c>
      <c r="CY158">
        <v>1</v>
      </c>
      <c r="CZ158">
        <v>0</v>
      </c>
      <c r="DA158">
        <v>1</v>
      </c>
      <c r="DB158">
        <v>0</v>
      </c>
      <c r="DC158">
        <v>0</v>
      </c>
      <c r="DD158">
        <v>0</v>
      </c>
      <c r="DE158">
        <v>0</v>
      </c>
      <c r="DF158">
        <v>0</v>
      </c>
      <c r="DG158">
        <v>0</v>
      </c>
      <c r="DH158">
        <v>0</v>
      </c>
      <c r="DI158">
        <v>0</v>
      </c>
    </row>
    <row r="159" spans="1:113" x14ac:dyDescent="0.3">
      <c r="A159" t="str">
        <f>"09/28/2021 13:51:49.367"</f>
        <v>09/28/2021 13:51:49.367</v>
      </c>
      <c r="C159" t="str">
        <f t="shared" si="8"/>
        <v>FFDFD3C0</v>
      </c>
      <c r="D159" t="s">
        <v>113</v>
      </c>
      <c r="E159">
        <v>7</v>
      </c>
      <c r="H159">
        <v>170</v>
      </c>
      <c r="I159" t="s">
        <v>114</v>
      </c>
      <c r="J159" t="s">
        <v>115</v>
      </c>
      <c r="K159">
        <v>0</v>
      </c>
      <c r="L159">
        <v>3</v>
      </c>
      <c r="M159">
        <v>0</v>
      </c>
      <c r="N159">
        <v>2</v>
      </c>
      <c r="O159">
        <v>1</v>
      </c>
      <c r="P159">
        <v>0</v>
      </c>
      <c r="Q159">
        <v>0</v>
      </c>
      <c r="S159" t="str">
        <f>"13:51:49.164"</f>
        <v>13:51:49.164</v>
      </c>
      <c r="T159" t="str">
        <f>"13:51:48.764"</f>
        <v>13:51:48.764</v>
      </c>
      <c r="U159" t="str">
        <f t="shared" si="10"/>
        <v>A92BC1</v>
      </c>
      <c r="V159">
        <v>0</v>
      </c>
      <c r="W159">
        <v>0</v>
      </c>
      <c r="X159">
        <v>2</v>
      </c>
      <c r="Z159">
        <v>0</v>
      </c>
      <c r="AA159">
        <v>9</v>
      </c>
      <c r="AB159">
        <v>3</v>
      </c>
      <c r="AC159">
        <v>0</v>
      </c>
      <c r="AD159">
        <v>10</v>
      </c>
      <c r="AE159">
        <v>0</v>
      </c>
      <c r="AF159">
        <v>3</v>
      </c>
      <c r="AG159">
        <v>2</v>
      </c>
      <c r="AH159">
        <v>0</v>
      </c>
      <c r="AI159" t="s">
        <v>262</v>
      </c>
      <c r="AJ159">
        <v>45.667183000000001</v>
      </c>
      <c r="AK159" t="s">
        <v>263</v>
      </c>
      <c r="AL159">
        <v>-89.496495999999993</v>
      </c>
      <c r="AM159">
        <v>100</v>
      </c>
      <c r="AN159">
        <v>4400</v>
      </c>
      <c r="AO159" t="s">
        <v>118</v>
      </c>
      <c r="AP159">
        <v>109</v>
      </c>
      <c r="AQ159">
        <v>117</v>
      </c>
      <c r="AR159">
        <v>1920</v>
      </c>
      <c r="AZ159">
        <v>1200</v>
      </c>
      <c r="BA159">
        <v>1</v>
      </c>
      <c r="BB159" t="str">
        <f t="shared" si="9"/>
        <v xml:space="preserve">N690LS  </v>
      </c>
      <c r="BC159">
        <v>1</v>
      </c>
      <c r="BE159">
        <v>0</v>
      </c>
      <c r="BF159">
        <v>0</v>
      </c>
      <c r="BG159">
        <v>0</v>
      </c>
      <c r="BH159">
        <v>4500</v>
      </c>
      <c r="BI159">
        <v>1</v>
      </c>
      <c r="BJ159">
        <v>1</v>
      </c>
      <c r="BK159">
        <v>1</v>
      </c>
      <c r="BL159">
        <v>0</v>
      </c>
      <c r="BO159">
        <v>0</v>
      </c>
      <c r="BP159">
        <v>0</v>
      </c>
      <c r="BW159" t="str">
        <f>"13:51:49.167"</f>
        <v>13:51:49.167</v>
      </c>
      <c r="CJ159">
        <v>0</v>
      </c>
      <c r="CK159">
        <v>2</v>
      </c>
      <c r="CL159">
        <v>0</v>
      </c>
      <c r="CM159">
        <v>2</v>
      </c>
      <c r="CN159">
        <v>0</v>
      </c>
      <c r="CO159">
        <v>6</v>
      </c>
      <c r="CP159" t="s">
        <v>119</v>
      </c>
      <c r="CQ159">
        <v>209</v>
      </c>
      <c r="CR159">
        <v>3</v>
      </c>
      <c r="CW159">
        <v>7135851</v>
      </c>
      <c r="CY159">
        <v>1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</row>
    <row r="160" spans="1:113" x14ac:dyDescent="0.3">
      <c r="A160" t="str">
        <f>"09/28/2021 13:51:49.398"</f>
        <v>09/28/2021 13:51:49.398</v>
      </c>
      <c r="C160" t="str">
        <f t="shared" si="8"/>
        <v>FFDFD3C0</v>
      </c>
      <c r="D160" t="s">
        <v>120</v>
      </c>
      <c r="E160">
        <v>12</v>
      </c>
      <c r="F160">
        <v>1012</v>
      </c>
      <c r="G160" t="s">
        <v>114</v>
      </c>
      <c r="J160" t="s">
        <v>121</v>
      </c>
      <c r="K160">
        <v>0</v>
      </c>
      <c r="L160">
        <v>3</v>
      </c>
      <c r="M160">
        <v>0</v>
      </c>
      <c r="N160">
        <v>2</v>
      </c>
      <c r="O160">
        <v>1</v>
      </c>
      <c r="P160">
        <v>0</v>
      </c>
      <c r="Q160">
        <v>0</v>
      </c>
      <c r="S160" t="str">
        <f>"13:51:49.164"</f>
        <v>13:51:49.164</v>
      </c>
      <c r="T160" t="str">
        <f>"13:51:48.764"</f>
        <v>13:51:48.764</v>
      </c>
      <c r="U160" t="str">
        <f t="shared" si="10"/>
        <v>A92BC1</v>
      </c>
      <c r="V160">
        <v>0</v>
      </c>
      <c r="W160">
        <v>0</v>
      </c>
      <c r="X160">
        <v>2</v>
      </c>
      <c r="Z160">
        <v>0</v>
      </c>
      <c r="AA160">
        <v>9</v>
      </c>
      <c r="AB160">
        <v>3</v>
      </c>
      <c r="AC160">
        <v>0</v>
      </c>
      <c r="AD160">
        <v>10</v>
      </c>
      <c r="AE160">
        <v>0</v>
      </c>
      <c r="AF160">
        <v>3</v>
      </c>
      <c r="AG160">
        <v>2</v>
      </c>
      <c r="AH160">
        <v>0</v>
      </c>
      <c r="AI160" t="s">
        <v>262</v>
      </c>
      <c r="AJ160">
        <v>45.667183000000001</v>
      </c>
      <c r="AK160" t="s">
        <v>263</v>
      </c>
      <c r="AL160">
        <v>-89.496495999999993</v>
      </c>
      <c r="AM160">
        <v>100</v>
      </c>
      <c r="AN160">
        <v>4400</v>
      </c>
      <c r="AO160" t="s">
        <v>118</v>
      </c>
      <c r="AP160">
        <v>109</v>
      </c>
      <c r="AQ160">
        <v>117</v>
      </c>
      <c r="AR160">
        <v>1920</v>
      </c>
      <c r="AZ160">
        <v>1200</v>
      </c>
      <c r="BA160">
        <v>1</v>
      </c>
      <c r="BB160" t="str">
        <f t="shared" si="9"/>
        <v xml:space="preserve">N690LS  </v>
      </c>
      <c r="BC160">
        <v>1</v>
      </c>
      <c r="BE160">
        <v>0</v>
      </c>
      <c r="BF160">
        <v>0</v>
      </c>
      <c r="BG160">
        <v>0</v>
      </c>
      <c r="BH160">
        <v>4500</v>
      </c>
      <c r="BI160">
        <v>1</v>
      </c>
      <c r="BJ160">
        <v>1</v>
      </c>
      <c r="BK160">
        <v>1</v>
      </c>
      <c r="BL160">
        <v>0</v>
      </c>
      <c r="BO160">
        <v>0</v>
      </c>
      <c r="BP160">
        <v>0</v>
      </c>
      <c r="BW160" t="str">
        <f>"13:51:49.167"</f>
        <v>13:51:49.167</v>
      </c>
      <c r="CJ160">
        <v>0</v>
      </c>
      <c r="CK160">
        <v>2</v>
      </c>
      <c r="CL160">
        <v>0</v>
      </c>
      <c r="CM160">
        <v>2</v>
      </c>
      <c r="CN160">
        <v>0</v>
      </c>
      <c r="CO160">
        <v>6</v>
      </c>
      <c r="CP160" t="s">
        <v>119</v>
      </c>
      <c r="CQ160">
        <v>209</v>
      </c>
      <c r="CR160">
        <v>3</v>
      </c>
      <c r="CW160">
        <v>7135851</v>
      </c>
      <c r="CY160">
        <v>1</v>
      </c>
      <c r="CZ160">
        <v>0</v>
      </c>
      <c r="DA160">
        <v>1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</row>
    <row r="161" spans="1:113" x14ac:dyDescent="0.3">
      <c r="A161" t="str">
        <f>"09/28/2021 13:51:50.273"</f>
        <v>09/28/2021 13:51:50.273</v>
      </c>
      <c r="C161" t="str">
        <f t="shared" si="8"/>
        <v>FFDFD3C0</v>
      </c>
      <c r="D161" t="s">
        <v>113</v>
      </c>
      <c r="E161">
        <v>7</v>
      </c>
      <c r="H161">
        <v>170</v>
      </c>
      <c r="I161" t="s">
        <v>114</v>
      </c>
      <c r="J161" t="s">
        <v>115</v>
      </c>
      <c r="K161">
        <v>0</v>
      </c>
      <c r="L161">
        <v>3</v>
      </c>
      <c r="M161">
        <v>0</v>
      </c>
      <c r="N161">
        <v>2</v>
      </c>
      <c r="O161">
        <v>1</v>
      </c>
      <c r="P161">
        <v>0</v>
      </c>
      <c r="Q161">
        <v>0</v>
      </c>
      <c r="S161" t="str">
        <f>"13:51:50.063"</f>
        <v>13:51:50.063</v>
      </c>
      <c r="T161" t="str">
        <f>"13:51:49.663"</f>
        <v>13:51:49.663</v>
      </c>
      <c r="U161" t="str">
        <f t="shared" si="10"/>
        <v>A92BC1</v>
      </c>
      <c r="V161">
        <v>0</v>
      </c>
      <c r="W161">
        <v>0</v>
      </c>
      <c r="X161">
        <v>2</v>
      </c>
      <c r="Z161">
        <v>0</v>
      </c>
      <c r="AA161">
        <v>9</v>
      </c>
      <c r="AB161">
        <v>3</v>
      </c>
      <c r="AC161">
        <v>0</v>
      </c>
      <c r="AD161">
        <v>10</v>
      </c>
      <c r="AE161">
        <v>0</v>
      </c>
      <c r="AF161">
        <v>3</v>
      </c>
      <c r="AG161">
        <v>2</v>
      </c>
      <c r="AH161">
        <v>0</v>
      </c>
      <c r="AI161" t="s">
        <v>264</v>
      </c>
      <c r="AJ161">
        <v>45.667698000000001</v>
      </c>
      <c r="AK161" t="s">
        <v>265</v>
      </c>
      <c r="AL161">
        <v>-89.495788000000005</v>
      </c>
      <c r="AM161">
        <v>100</v>
      </c>
      <c r="AN161">
        <v>4500</v>
      </c>
      <c r="AO161" t="s">
        <v>118</v>
      </c>
      <c r="AP161">
        <v>112</v>
      </c>
      <c r="AQ161">
        <v>114</v>
      </c>
      <c r="AR161">
        <v>1984</v>
      </c>
      <c r="AZ161">
        <v>1200</v>
      </c>
      <c r="BA161">
        <v>1</v>
      </c>
      <c r="BB161" t="str">
        <f t="shared" si="9"/>
        <v xml:space="preserve">N690LS  </v>
      </c>
      <c r="BC161">
        <v>1</v>
      </c>
      <c r="BE161">
        <v>0</v>
      </c>
      <c r="BF161">
        <v>0</v>
      </c>
      <c r="BG161">
        <v>0</v>
      </c>
      <c r="BH161">
        <v>4525</v>
      </c>
      <c r="BI161">
        <v>1</v>
      </c>
      <c r="BJ161">
        <v>1</v>
      </c>
      <c r="BK161">
        <v>1</v>
      </c>
      <c r="BL161">
        <v>0</v>
      </c>
      <c r="BO161">
        <v>0</v>
      </c>
      <c r="BP161">
        <v>0</v>
      </c>
      <c r="BW161" t="str">
        <f>"13:51:50.067"</f>
        <v>13:51:50.067</v>
      </c>
      <c r="CJ161">
        <v>0</v>
      </c>
      <c r="CK161">
        <v>2</v>
      </c>
      <c r="CL161">
        <v>0</v>
      </c>
      <c r="CM161">
        <v>2</v>
      </c>
      <c r="CN161">
        <v>0</v>
      </c>
      <c r="CO161">
        <v>6</v>
      </c>
      <c r="CP161" t="s">
        <v>119</v>
      </c>
      <c r="CQ161">
        <v>209</v>
      </c>
      <c r="CR161">
        <v>3</v>
      </c>
      <c r="CW161">
        <v>7136173</v>
      </c>
      <c r="CY161">
        <v>1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</row>
    <row r="162" spans="1:113" x14ac:dyDescent="0.3">
      <c r="A162" t="str">
        <f>"09/28/2021 13:51:50.289"</f>
        <v>09/28/2021 13:51:50.289</v>
      </c>
      <c r="C162" t="str">
        <f t="shared" si="8"/>
        <v>FFDFD3C0</v>
      </c>
      <c r="D162" t="s">
        <v>120</v>
      </c>
      <c r="E162">
        <v>12</v>
      </c>
      <c r="F162">
        <v>1012</v>
      </c>
      <c r="G162" t="s">
        <v>114</v>
      </c>
      <c r="J162" t="s">
        <v>121</v>
      </c>
      <c r="K162">
        <v>0</v>
      </c>
      <c r="L162">
        <v>3</v>
      </c>
      <c r="M162">
        <v>0</v>
      </c>
      <c r="N162">
        <v>2</v>
      </c>
      <c r="O162">
        <v>1</v>
      </c>
      <c r="P162">
        <v>0</v>
      </c>
      <c r="Q162">
        <v>0</v>
      </c>
      <c r="S162" t="str">
        <f>"13:51:50.063"</f>
        <v>13:51:50.063</v>
      </c>
      <c r="T162" t="str">
        <f>"13:51:49.663"</f>
        <v>13:51:49.663</v>
      </c>
      <c r="U162" t="str">
        <f t="shared" si="10"/>
        <v>A92BC1</v>
      </c>
      <c r="V162">
        <v>0</v>
      </c>
      <c r="W162">
        <v>0</v>
      </c>
      <c r="X162">
        <v>2</v>
      </c>
      <c r="Z162">
        <v>0</v>
      </c>
      <c r="AA162">
        <v>9</v>
      </c>
      <c r="AB162">
        <v>3</v>
      </c>
      <c r="AC162">
        <v>0</v>
      </c>
      <c r="AD162">
        <v>10</v>
      </c>
      <c r="AE162">
        <v>0</v>
      </c>
      <c r="AF162">
        <v>3</v>
      </c>
      <c r="AG162">
        <v>2</v>
      </c>
      <c r="AH162">
        <v>0</v>
      </c>
      <c r="AI162" t="s">
        <v>264</v>
      </c>
      <c r="AJ162">
        <v>45.667698000000001</v>
      </c>
      <c r="AK162" t="s">
        <v>265</v>
      </c>
      <c r="AL162">
        <v>-89.495788000000005</v>
      </c>
      <c r="AM162">
        <v>100</v>
      </c>
      <c r="AN162">
        <v>4500</v>
      </c>
      <c r="AO162" t="s">
        <v>118</v>
      </c>
      <c r="AP162">
        <v>112</v>
      </c>
      <c r="AQ162">
        <v>114</v>
      </c>
      <c r="AR162">
        <v>1984</v>
      </c>
      <c r="AZ162">
        <v>1200</v>
      </c>
      <c r="BA162">
        <v>1</v>
      </c>
      <c r="BB162" t="str">
        <f t="shared" si="9"/>
        <v xml:space="preserve">N690LS  </v>
      </c>
      <c r="BC162">
        <v>1</v>
      </c>
      <c r="BE162">
        <v>0</v>
      </c>
      <c r="BF162">
        <v>0</v>
      </c>
      <c r="BG162">
        <v>0</v>
      </c>
      <c r="BH162">
        <v>4525</v>
      </c>
      <c r="BI162">
        <v>1</v>
      </c>
      <c r="BJ162">
        <v>1</v>
      </c>
      <c r="BK162">
        <v>1</v>
      </c>
      <c r="BL162">
        <v>0</v>
      </c>
      <c r="BO162">
        <v>0</v>
      </c>
      <c r="BP162">
        <v>0</v>
      </c>
      <c r="BW162" t="str">
        <f>"13:51:50.067"</f>
        <v>13:51:50.067</v>
      </c>
      <c r="CJ162">
        <v>0</v>
      </c>
      <c r="CK162">
        <v>2</v>
      </c>
      <c r="CL162">
        <v>0</v>
      </c>
      <c r="CM162">
        <v>2</v>
      </c>
      <c r="CN162">
        <v>0</v>
      </c>
      <c r="CO162">
        <v>6</v>
      </c>
      <c r="CP162" t="s">
        <v>119</v>
      </c>
      <c r="CQ162">
        <v>209</v>
      </c>
      <c r="CR162">
        <v>3</v>
      </c>
      <c r="CW162">
        <v>7136173</v>
      </c>
      <c r="CY162">
        <v>1</v>
      </c>
      <c r="CZ162">
        <v>0</v>
      </c>
      <c r="DA162">
        <v>1</v>
      </c>
      <c r="DB162">
        <v>0</v>
      </c>
      <c r="DC162">
        <v>0</v>
      </c>
      <c r="DD162">
        <v>0</v>
      </c>
      <c r="DE162">
        <v>0</v>
      </c>
      <c r="DF162">
        <v>0</v>
      </c>
      <c r="DG162">
        <v>0</v>
      </c>
      <c r="DH162">
        <v>0</v>
      </c>
      <c r="DI162">
        <v>0</v>
      </c>
    </row>
    <row r="163" spans="1:113" x14ac:dyDescent="0.3">
      <c r="A163" t="str">
        <f>"09/28/2021 13:51:51.336"</f>
        <v>09/28/2021 13:51:51.336</v>
      </c>
      <c r="C163" t="str">
        <f t="shared" si="8"/>
        <v>FFDFD3C0</v>
      </c>
      <c r="D163" t="s">
        <v>113</v>
      </c>
      <c r="E163">
        <v>7</v>
      </c>
      <c r="H163">
        <v>170</v>
      </c>
      <c r="I163" t="s">
        <v>114</v>
      </c>
      <c r="J163" t="s">
        <v>115</v>
      </c>
      <c r="K163">
        <v>0</v>
      </c>
      <c r="L163">
        <v>3</v>
      </c>
      <c r="M163">
        <v>0</v>
      </c>
      <c r="N163">
        <v>2</v>
      </c>
      <c r="O163">
        <v>1</v>
      </c>
      <c r="P163">
        <v>0</v>
      </c>
      <c r="Q163">
        <v>0</v>
      </c>
      <c r="S163" t="str">
        <f>"13:51:51.125"</f>
        <v>13:51:51.125</v>
      </c>
      <c r="T163" t="str">
        <f>"13:51:50.625"</f>
        <v>13:51:50.625</v>
      </c>
      <c r="U163" t="str">
        <f t="shared" si="10"/>
        <v>A92BC1</v>
      </c>
      <c r="V163">
        <v>0</v>
      </c>
      <c r="W163">
        <v>0</v>
      </c>
      <c r="X163">
        <v>2</v>
      </c>
      <c r="Z163">
        <v>0</v>
      </c>
      <c r="AA163">
        <v>9</v>
      </c>
      <c r="AB163">
        <v>3</v>
      </c>
      <c r="AC163">
        <v>0</v>
      </c>
      <c r="AD163">
        <v>10</v>
      </c>
      <c r="AE163">
        <v>0</v>
      </c>
      <c r="AF163">
        <v>3</v>
      </c>
      <c r="AG163">
        <v>2</v>
      </c>
      <c r="AH163">
        <v>0</v>
      </c>
      <c r="AI163" t="s">
        <v>266</v>
      </c>
      <c r="AJ163">
        <v>45.668235000000003</v>
      </c>
      <c r="AK163" t="s">
        <v>156</v>
      </c>
      <c r="AL163">
        <v>-89.494972000000004</v>
      </c>
      <c r="AM163">
        <v>100</v>
      </c>
      <c r="AN163">
        <v>4500</v>
      </c>
      <c r="AO163" t="s">
        <v>118</v>
      </c>
      <c r="AP163">
        <v>116</v>
      </c>
      <c r="AQ163">
        <v>111</v>
      </c>
      <c r="AR163">
        <v>2048</v>
      </c>
      <c r="AZ163">
        <v>1200</v>
      </c>
      <c r="BA163">
        <v>1</v>
      </c>
      <c r="BB163" t="str">
        <f t="shared" si="9"/>
        <v xml:space="preserve">N690LS  </v>
      </c>
      <c r="BC163">
        <v>1</v>
      </c>
      <c r="BE163">
        <v>0</v>
      </c>
      <c r="BF163">
        <v>0</v>
      </c>
      <c r="BG163">
        <v>0</v>
      </c>
      <c r="BH163">
        <v>4575</v>
      </c>
      <c r="BI163">
        <v>1</v>
      </c>
      <c r="BJ163">
        <v>1</v>
      </c>
      <c r="BK163">
        <v>1</v>
      </c>
      <c r="BL163">
        <v>0</v>
      </c>
      <c r="BO163">
        <v>0</v>
      </c>
      <c r="BP163">
        <v>0</v>
      </c>
      <c r="BW163" t="str">
        <f>"13:51:51.127"</f>
        <v>13:51:51.127</v>
      </c>
      <c r="CJ163">
        <v>0</v>
      </c>
      <c r="CK163">
        <v>2</v>
      </c>
      <c r="CL163">
        <v>0</v>
      </c>
      <c r="CM163">
        <v>2</v>
      </c>
      <c r="CN163">
        <v>0</v>
      </c>
      <c r="CO163">
        <v>7</v>
      </c>
      <c r="CP163" t="s">
        <v>119</v>
      </c>
      <c r="CQ163">
        <v>197</v>
      </c>
      <c r="CR163">
        <v>2</v>
      </c>
      <c r="CW163">
        <v>2163385</v>
      </c>
      <c r="CY163">
        <v>1</v>
      </c>
      <c r="CZ163">
        <v>0</v>
      </c>
      <c r="DA163">
        <v>0</v>
      </c>
      <c r="DB163">
        <v>0</v>
      </c>
      <c r="DC163">
        <v>0</v>
      </c>
      <c r="DD163">
        <v>0</v>
      </c>
      <c r="DE163">
        <v>0</v>
      </c>
      <c r="DF163">
        <v>0</v>
      </c>
      <c r="DG163">
        <v>0</v>
      </c>
      <c r="DH163">
        <v>0</v>
      </c>
      <c r="DI163">
        <v>0</v>
      </c>
    </row>
    <row r="164" spans="1:113" x14ac:dyDescent="0.3">
      <c r="A164" t="str">
        <f>"09/28/2021 13:51:51.336"</f>
        <v>09/28/2021 13:51:51.336</v>
      </c>
      <c r="C164" t="str">
        <f t="shared" si="8"/>
        <v>FFDFD3C0</v>
      </c>
      <c r="D164" t="s">
        <v>120</v>
      </c>
      <c r="E164">
        <v>12</v>
      </c>
      <c r="F164">
        <v>1012</v>
      </c>
      <c r="G164" t="s">
        <v>114</v>
      </c>
      <c r="J164" t="s">
        <v>121</v>
      </c>
      <c r="K164">
        <v>0</v>
      </c>
      <c r="L164">
        <v>3</v>
      </c>
      <c r="M164">
        <v>0</v>
      </c>
      <c r="N164">
        <v>2</v>
      </c>
      <c r="O164">
        <v>1</v>
      </c>
      <c r="P164">
        <v>0</v>
      </c>
      <c r="Q164">
        <v>0</v>
      </c>
      <c r="S164" t="str">
        <f>"13:51:51.125"</f>
        <v>13:51:51.125</v>
      </c>
      <c r="T164" t="str">
        <f>"13:51:50.625"</f>
        <v>13:51:50.625</v>
      </c>
      <c r="U164" t="str">
        <f t="shared" si="10"/>
        <v>A92BC1</v>
      </c>
      <c r="V164">
        <v>0</v>
      </c>
      <c r="W164">
        <v>0</v>
      </c>
      <c r="X164">
        <v>2</v>
      </c>
      <c r="Z164">
        <v>0</v>
      </c>
      <c r="AA164">
        <v>9</v>
      </c>
      <c r="AB164">
        <v>3</v>
      </c>
      <c r="AC164">
        <v>0</v>
      </c>
      <c r="AD164">
        <v>10</v>
      </c>
      <c r="AE164">
        <v>0</v>
      </c>
      <c r="AF164">
        <v>3</v>
      </c>
      <c r="AG164">
        <v>2</v>
      </c>
      <c r="AH164">
        <v>0</v>
      </c>
      <c r="AI164" t="s">
        <v>266</v>
      </c>
      <c r="AJ164">
        <v>45.668235000000003</v>
      </c>
      <c r="AK164" t="s">
        <v>156</v>
      </c>
      <c r="AL164">
        <v>-89.494972000000004</v>
      </c>
      <c r="AM164">
        <v>100</v>
      </c>
      <c r="AN164">
        <v>4500</v>
      </c>
      <c r="AO164" t="s">
        <v>118</v>
      </c>
      <c r="AP164">
        <v>116</v>
      </c>
      <c r="AQ164">
        <v>111</v>
      </c>
      <c r="AR164">
        <v>2048</v>
      </c>
      <c r="AZ164">
        <v>1200</v>
      </c>
      <c r="BA164">
        <v>1</v>
      </c>
      <c r="BB164" t="str">
        <f t="shared" si="9"/>
        <v xml:space="preserve">N690LS  </v>
      </c>
      <c r="BC164">
        <v>1</v>
      </c>
      <c r="BE164">
        <v>0</v>
      </c>
      <c r="BF164">
        <v>0</v>
      </c>
      <c r="BG164">
        <v>0</v>
      </c>
      <c r="BH164">
        <v>4575</v>
      </c>
      <c r="BI164">
        <v>1</v>
      </c>
      <c r="BJ164">
        <v>1</v>
      </c>
      <c r="BK164">
        <v>1</v>
      </c>
      <c r="BL164">
        <v>0</v>
      </c>
      <c r="BO164">
        <v>0</v>
      </c>
      <c r="BP164">
        <v>0</v>
      </c>
      <c r="BW164" t="str">
        <f>"13:51:51.127"</f>
        <v>13:51:51.127</v>
      </c>
      <c r="CJ164">
        <v>0</v>
      </c>
      <c r="CK164">
        <v>2</v>
      </c>
      <c r="CL164">
        <v>0</v>
      </c>
      <c r="CM164">
        <v>2</v>
      </c>
      <c r="CN164">
        <v>0</v>
      </c>
      <c r="CO164">
        <v>7</v>
      </c>
      <c r="CP164" t="s">
        <v>119</v>
      </c>
      <c r="CQ164">
        <v>197</v>
      </c>
      <c r="CR164">
        <v>2</v>
      </c>
      <c r="CW164">
        <v>2163385</v>
      </c>
      <c r="CY164">
        <v>1</v>
      </c>
      <c r="CZ164">
        <v>0</v>
      </c>
      <c r="DA164">
        <v>1</v>
      </c>
      <c r="DB164">
        <v>0</v>
      </c>
      <c r="DC164">
        <v>0</v>
      </c>
      <c r="DD164">
        <v>0</v>
      </c>
      <c r="DE164">
        <v>0</v>
      </c>
      <c r="DF164">
        <v>0</v>
      </c>
      <c r="DG164">
        <v>0</v>
      </c>
      <c r="DH164">
        <v>0</v>
      </c>
      <c r="DI164">
        <v>0</v>
      </c>
    </row>
    <row r="165" spans="1:113" x14ac:dyDescent="0.3">
      <c r="A165" t="str">
        <f>"09/28/2021 13:51:52.290"</f>
        <v>09/28/2021 13:51:52.290</v>
      </c>
      <c r="C165" t="str">
        <f t="shared" si="8"/>
        <v>FFDFD3C0</v>
      </c>
      <c r="D165" t="s">
        <v>113</v>
      </c>
      <c r="E165">
        <v>7</v>
      </c>
      <c r="H165">
        <v>170</v>
      </c>
      <c r="I165" t="s">
        <v>114</v>
      </c>
      <c r="J165" t="s">
        <v>115</v>
      </c>
      <c r="K165">
        <v>0</v>
      </c>
      <c r="L165">
        <v>3</v>
      </c>
      <c r="M165">
        <v>0</v>
      </c>
      <c r="N165">
        <v>2</v>
      </c>
      <c r="O165">
        <v>1</v>
      </c>
      <c r="P165">
        <v>0</v>
      </c>
      <c r="Q165">
        <v>0</v>
      </c>
      <c r="S165" t="str">
        <f>"13:51:52.102"</f>
        <v>13:51:52.102</v>
      </c>
      <c r="T165" t="str">
        <f>"13:51:51.702"</f>
        <v>13:51:51.702</v>
      </c>
      <c r="U165" t="str">
        <f t="shared" si="10"/>
        <v>A92BC1</v>
      </c>
      <c r="V165">
        <v>0</v>
      </c>
      <c r="W165">
        <v>0</v>
      </c>
      <c r="X165">
        <v>2</v>
      </c>
      <c r="Z165">
        <v>0</v>
      </c>
      <c r="AA165">
        <v>9</v>
      </c>
      <c r="AB165">
        <v>3</v>
      </c>
      <c r="AC165">
        <v>0</v>
      </c>
      <c r="AD165">
        <v>10</v>
      </c>
      <c r="AE165">
        <v>0</v>
      </c>
      <c r="AF165">
        <v>3</v>
      </c>
      <c r="AG165">
        <v>2</v>
      </c>
      <c r="AH165">
        <v>0</v>
      </c>
      <c r="AI165" t="s">
        <v>267</v>
      </c>
      <c r="AJ165">
        <v>45.668685000000004</v>
      </c>
      <c r="AK165" t="s">
        <v>268</v>
      </c>
      <c r="AL165">
        <v>-89.494220999999996</v>
      </c>
      <c r="AM165">
        <v>100</v>
      </c>
      <c r="AN165">
        <v>4500</v>
      </c>
      <c r="AO165" t="s">
        <v>118</v>
      </c>
      <c r="AP165">
        <v>120</v>
      </c>
      <c r="AQ165">
        <v>107</v>
      </c>
      <c r="AR165">
        <v>2048</v>
      </c>
      <c r="AZ165">
        <v>1200</v>
      </c>
      <c r="BA165">
        <v>1</v>
      </c>
      <c r="BB165" t="str">
        <f t="shared" si="9"/>
        <v xml:space="preserve">N690LS  </v>
      </c>
      <c r="BC165">
        <v>1</v>
      </c>
      <c r="BE165">
        <v>0</v>
      </c>
      <c r="BF165">
        <v>0</v>
      </c>
      <c r="BG165">
        <v>0</v>
      </c>
      <c r="BH165">
        <v>4600</v>
      </c>
      <c r="BI165">
        <v>1</v>
      </c>
      <c r="BJ165">
        <v>1</v>
      </c>
      <c r="BK165">
        <v>1</v>
      </c>
      <c r="BL165">
        <v>0</v>
      </c>
      <c r="BO165">
        <v>0</v>
      </c>
      <c r="BP165">
        <v>0</v>
      </c>
      <c r="BW165" t="str">
        <f>"13:51:52.107"</f>
        <v>13:51:52.107</v>
      </c>
      <c r="CJ165">
        <v>0</v>
      </c>
      <c r="CK165">
        <v>2</v>
      </c>
      <c r="CL165">
        <v>0</v>
      </c>
      <c r="CM165">
        <v>2</v>
      </c>
      <c r="CN165">
        <v>0</v>
      </c>
      <c r="CO165">
        <v>6</v>
      </c>
      <c r="CP165" t="s">
        <v>119</v>
      </c>
      <c r="CQ165">
        <v>209</v>
      </c>
      <c r="CR165">
        <v>3</v>
      </c>
      <c r="CW165">
        <v>7136872</v>
      </c>
      <c r="CY165">
        <v>1</v>
      </c>
      <c r="CZ165">
        <v>0</v>
      </c>
      <c r="DA165">
        <v>0</v>
      </c>
      <c r="DB165">
        <v>0</v>
      </c>
      <c r="DC165">
        <v>0</v>
      </c>
      <c r="DD165">
        <v>0</v>
      </c>
      <c r="DE165">
        <v>0</v>
      </c>
      <c r="DF165">
        <v>0</v>
      </c>
      <c r="DG165">
        <v>0</v>
      </c>
      <c r="DH165">
        <v>0</v>
      </c>
      <c r="DI165">
        <v>0</v>
      </c>
    </row>
    <row r="166" spans="1:113" x14ac:dyDescent="0.3">
      <c r="A166" t="str">
        <f>"09/28/2021 13:51:52.305"</f>
        <v>09/28/2021 13:51:52.305</v>
      </c>
      <c r="C166" t="str">
        <f t="shared" si="8"/>
        <v>FFDFD3C0</v>
      </c>
      <c r="D166" t="s">
        <v>120</v>
      </c>
      <c r="E166">
        <v>12</v>
      </c>
      <c r="F166">
        <v>1012</v>
      </c>
      <c r="G166" t="s">
        <v>114</v>
      </c>
      <c r="J166" t="s">
        <v>121</v>
      </c>
      <c r="K166">
        <v>0</v>
      </c>
      <c r="L166">
        <v>3</v>
      </c>
      <c r="M166">
        <v>0</v>
      </c>
      <c r="N166">
        <v>2</v>
      </c>
      <c r="O166">
        <v>1</v>
      </c>
      <c r="P166">
        <v>0</v>
      </c>
      <c r="Q166">
        <v>0</v>
      </c>
      <c r="S166" t="str">
        <f>"13:51:52.102"</f>
        <v>13:51:52.102</v>
      </c>
      <c r="T166" t="str">
        <f>"13:51:51.702"</f>
        <v>13:51:51.702</v>
      </c>
      <c r="U166" t="str">
        <f t="shared" si="10"/>
        <v>A92BC1</v>
      </c>
      <c r="V166">
        <v>0</v>
      </c>
      <c r="W166">
        <v>0</v>
      </c>
      <c r="X166">
        <v>2</v>
      </c>
      <c r="Z166">
        <v>0</v>
      </c>
      <c r="AA166">
        <v>9</v>
      </c>
      <c r="AB166">
        <v>3</v>
      </c>
      <c r="AC166">
        <v>0</v>
      </c>
      <c r="AD166">
        <v>10</v>
      </c>
      <c r="AE166">
        <v>0</v>
      </c>
      <c r="AF166">
        <v>3</v>
      </c>
      <c r="AG166">
        <v>2</v>
      </c>
      <c r="AH166">
        <v>0</v>
      </c>
      <c r="AI166" t="s">
        <v>267</v>
      </c>
      <c r="AJ166">
        <v>45.668685000000004</v>
      </c>
      <c r="AK166" t="s">
        <v>268</v>
      </c>
      <c r="AL166">
        <v>-89.494220999999996</v>
      </c>
      <c r="AM166">
        <v>100</v>
      </c>
      <c r="AN166">
        <v>4500</v>
      </c>
      <c r="AO166" t="s">
        <v>118</v>
      </c>
      <c r="AP166">
        <v>120</v>
      </c>
      <c r="AQ166">
        <v>107</v>
      </c>
      <c r="AR166">
        <v>2048</v>
      </c>
      <c r="AZ166">
        <v>1200</v>
      </c>
      <c r="BA166">
        <v>1</v>
      </c>
      <c r="BB166" t="str">
        <f t="shared" si="9"/>
        <v xml:space="preserve">N690LS  </v>
      </c>
      <c r="BC166">
        <v>1</v>
      </c>
      <c r="BE166">
        <v>0</v>
      </c>
      <c r="BF166">
        <v>0</v>
      </c>
      <c r="BG166">
        <v>0</v>
      </c>
      <c r="BH166">
        <v>4600</v>
      </c>
      <c r="BI166">
        <v>1</v>
      </c>
      <c r="BJ166">
        <v>1</v>
      </c>
      <c r="BK166">
        <v>1</v>
      </c>
      <c r="BL166">
        <v>0</v>
      </c>
      <c r="BO166">
        <v>0</v>
      </c>
      <c r="BP166">
        <v>0</v>
      </c>
      <c r="BW166" t="str">
        <f>"13:51:52.107"</f>
        <v>13:51:52.107</v>
      </c>
      <c r="CJ166">
        <v>0</v>
      </c>
      <c r="CK166">
        <v>2</v>
      </c>
      <c r="CL166">
        <v>0</v>
      </c>
      <c r="CM166">
        <v>2</v>
      </c>
      <c r="CN166">
        <v>0</v>
      </c>
      <c r="CO166">
        <v>6</v>
      </c>
      <c r="CP166" t="s">
        <v>119</v>
      </c>
      <c r="CQ166">
        <v>209</v>
      </c>
      <c r="CR166">
        <v>3</v>
      </c>
      <c r="CW166">
        <v>7136872</v>
      </c>
      <c r="CY166">
        <v>1</v>
      </c>
      <c r="CZ166">
        <v>0</v>
      </c>
      <c r="DA166">
        <v>1</v>
      </c>
      <c r="DB166">
        <v>0</v>
      </c>
      <c r="DC166">
        <v>0</v>
      </c>
      <c r="DD166">
        <v>0</v>
      </c>
      <c r="DE166">
        <v>0</v>
      </c>
      <c r="DF166">
        <v>0</v>
      </c>
      <c r="DG166">
        <v>0</v>
      </c>
      <c r="DH166">
        <v>0</v>
      </c>
      <c r="DI166">
        <v>0</v>
      </c>
    </row>
    <row r="167" spans="1:113" x14ac:dyDescent="0.3">
      <c r="A167" t="str">
        <f>"09/28/2021 13:51:53.259"</f>
        <v>09/28/2021 13:51:53.259</v>
      </c>
      <c r="C167" t="str">
        <f t="shared" ref="C167:C230" si="11">"FFDFD3C0"</f>
        <v>FFDFD3C0</v>
      </c>
      <c r="D167" t="s">
        <v>113</v>
      </c>
      <c r="E167">
        <v>7</v>
      </c>
      <c r="H167">
        <v>170</v>
      </c>
      <c r="I167" t="s">
        <v>114</v>
      </c>
      <c r="J167" t="s">
        <v>115</v>
      </c>
      <c r="K167">
        <v>0</v>
      </c>
      <c r="L167">
        <v>3</v>
      </c>
      <c r="M167">
        <v>0</v>
      </c>
      <c r="N167">
        <v>2</v>
      </c>
      <c r="O167">
        <v>1</v>
      </c>
      <c r="P167">
        <v>0</v>
      </c>
      <c r="Q167">
        <v>0</v>
      </c>
      <c r="S167" t="str">
        <f>"13:51:53.055"</f>
        <v>13:51:53.055</v>
      </c>
      <c r="T167" t="str">
        <f>"13:51:52.555"</f>
        <v>13:51:52.555</v>
      </c>
      <c r="U167" t="str">
        <f t="shared" si="10"/>
        <v>A92BC1</v>
      </c>
      <c r="V167">
        <v>0</v>
      </c>
      <c r="W167">
        <v>0</v>
      </c>
      <c r="X167">
        <v>2</v>
      </c>
      <c r="Z167">
        <v>0</v>
      </c>
      <c r="AA167">
        <v>9</v>
      </c>
      <c r="AB167">
        <v>3</v>
      </c>
      <c r="AC167">
        <v>0</v>
      </c>
      <c r="AD167">
        <v>10</v>
      </c>
      <c r="AE167">
        <v>0</v>
      </c>
      <c r="AF167">
        <v>3</v>
      </c>
      <c r="AG167">
        <v>2</v>
      </c>
      <c r="AH167">
        <v>0</v>
      </c>
      <c r="AI167" t="s">
        <v>269</v>
      </c>
      <c r="AJ167">
        <v>45.669136000000002</v>
      </c>
      <c r="AK167" t="s">
        <v>270</v>
      </c>
      <c r="AL167">
        <v>-89.493470000000002</v>
      </c>
      <c r="AM167">
        <v>100</v>
      </c>
      <c r="AN167">
        <v>4600</v>
      </c>
      <c r="AO167" t="s">
        <v>118</v>
      </c>
      <c r="AP167">
        <v>123</v>
      </c>
      <c r="AQ167">
        <v>104</v>
      </c>
      <c r="AR167">
        <v>2112</v>
      </c>
      <c r="AZ167">
        <v>1200</v>
      </c>
      <c r="BA167">
        <v>1</v>
      </c>
      <c r="BB167" t="str">
        <f t="shared" ref="BB167:BB230" si="12">"N690LS  "</f>
        <v xml:space="preserve">N690LS  </v>
      </c>
      <c r="BC167">
        <v>1</v>
      </c>
      <c r="BE167">
        <v>0</v>
      </c>
      <c r="BF167">
        <v>0</v>
      </c>
      <c r="BG167">
        <v>0</v>
      </c>
      <c r="BH167">
        <v>4625</v>
      </c>
      <c r="BI167">
        <v>1</v>
      </c>
      <c r="BJ167">
        <v>1</v>
      </c>
      <c r="BK167">
        <v>1</v>
      </c>
      <c r="BL167">
        <v>0</v>
      </c>
      <c r="BO167">
        <v>0</v>
      </c>
      <c r="BP167">
        <v>0</v>
      </c>
      <c r="BW167" t="str">
        <f>"13:51:53.059"</f>
        <v>13:51:53.059</v>
      </c>
      <c r="CJ167">
        <v>0</v>
      </c>
      <c r="CK167">
        <v>2</v>
      </c>
      <c r="CL167">
        <v>0</v>
      </c>
      <c r="CM167">
        <v>2</v>
      </c>
      <c r="CN167">
        <v>0</v>
      </c>
      <c r="CO167">
        <v>6</v>
      </c>
      <c r="CP167" t="s">
        <v>119</v>
      </c>
      <c r="CQ167">
        <v>209</v>
      </c>
      <c r="CR167">
        <v>3</v>
      </c>
      <c r="CW167">
        <v>7137213</v>
      </c>
      <c r="CY167">
        <v>1</v>
      </c>
      <c r="CZ167">
        <v>0</v>
      </c>
      <c r="DA167">
        <v>0</v>
      </c>
      <c r="DB167">
        <v>0</v>
      </c>
      <c r="DC167">
        <v>0</v>
      </c>
      <c r="DD167">
        <v>0</v>
      </c>
      <c r="DE167">
        <v>0</v>
      </c>
      <c r="DF167">
        <v>0</v>
      </c>
      <c r="DG167">
        <v>0</v>
      </c>
      <c r="DH167">
        <v>0</v>
      </c>
      <c r="DI167">
        <v>0</v>
      </c>
    </row>
    <row r="168" spans="1:113" x14ac:dyDescent="0.3">
      <c r="A168" t="str">
        <f>"09/28/2021 13:51:53.259"</f>
        <v>09/28/2021 13:51:53.259</v>
      </c>
      <c r="C168" t="str">
        <f t="shared" si="11"/>
        <v>FFDFD3C0</v>
      </c>
      <c r="D168" t="s">
        <v>120</v>
      </c>
      <c r="E168">
        <v>12</v>
      </c>
      <c r="F168">
        <v>1012</v>
      </c>
      <c r="G168" t="s">
        <v>114</v>
      </c>
      <c r="J168" t="s">
        <v>121</v>
      </c>
      <c r="K168">
        <v>0</v>
      </c>
      <c r="L168">
        <v>3</v>
      </c>
      <c r="M168">
        <v>0</v>
      </c>
      <c r="N168">
        <v>2</v>
      </c>
      <c r="O168">
        <v>1</v>
      </c>
      <c r="P168">
        <v>0</v>
      </c>
      <c r="Q168">
        <v>0</v>
      </c>
      <c r="S168" t="str">
        <f>"13:51:53.055"</f>
        <v>13:51:53.055</v>
      </c>
      <c r="T168" t="str">
        <f>"13:51:52.555"</f>
        <v>13:51:52.555</v>
      </c>
      <c r="U168" t="str">
        <f t="shared" si="10"/>
        <v>A92BC1</v>
      </c>
      <c r="V168">
        <v>0</v>
      </c>
      <c r="W168">
        <v>0</v>
      </c>
      <c r="X168">
        <v>2</v>
      </c>
      <c r="Z168">
        <v>0</v>
      </c>
      <c r="AA168">
        <v>9</v>
      </c>
      <c r="AB168">
        <v>3</v>
      </c>
      <c r="AC168">
        <v>0</v>
      </c>
      <c r="AD168">
        <v>10</v>
      </c>
      <c r="AE168">
        <v>0</v>
      </c>
      <c r="AF168">
        <v>3</v>
      </c>
      <c r="AG168">
        <v>2</v>
      </c>
      <c r="AH168">
        <v>0</v>
      </c>
      <c r="AI168" t="s">
        <v>269</v>
      </c>
      <c r="AJ168">
        <v>45.669136000000002</v>
      </c>
      <c r="AK168" t="s">
        <v>270</v>
      </c>
      <c r="AL168">
        <v>-89.493470000000002</v>
      </c>
      <c r="AM168">
        <v>100</v>
      </c>
      <c r="AN168">
        <v>4600</v>
      </c>
      <c r="AO168" t="s">
        <v>118</v>
      </c>
      <c r="AP168">
        <v>123</v>
      </c>
      <c r="AQ168">
        <v>104</v>
      </c>
      <c r="AR168">
        <v>2112</v>
      </c>
      <c r="AZ168">
        <v>1200</v>
      </c>
      <c r="BA168">
        <v>1</v>
      </c>
      <c r="BB168" t="str">
        <f t="shared" si="12"/>
        <v xml:space="preserve">N690LS  </v>
      </c>
      <c r="BC168">
        <v>1</v>
      </c>
      <c r="BE168">
        <v>0</v>
      </c>
      <c r="BF168">
        <v>0</v>
      </c>
      <c r="BG168">
        <v>0</v>
      </c>
      <c r="BH168">
        <v>4625</v>
      </c>
      <c r="BI168">
        <v>1</v>
      </c>
      <c r="BJ168">
        <v>1</v>
      </c>
      <c r="BK168">
        <v>1</v>
      </c>
      <c r="BL168">
        <v>0</v>
      </c>
      <c r="BO168">
        <v>0</v>
      </c>
      <c r="BP168">
        <v>0</v>
      </c>
      <c r="BW168" t="str">
        <f>"13:51:53.059"</f>
        <v>13:51:53.059</v>
      </c>
      <c r="CJ168">
        <v>0</v>
      </c>
      <c r="CK168">
        <v>2</v>
      </c>
      <c r="CL168">
        <v>0</v>
      </c>
      <c r="CM168">
        <v>2</v>
      </c>
      <c r="CN168">
        <v>0</v>
      </c>
      <c r="CO168">
        <v>6</v>
      </c>
      <c r="CP168" t="s">
        <v>119</v>
      </c>
      <c r="CQ168">
        <v>209</v>
      </c>
      <c r="CR168">
        <v>3</v>
      </c>
      <c r="CW168">
        <v>7137213</v>
      </c>
      <c r="CY168">
        <v>1</v>
      </c>
      <c r="CZ168">
        <v>0</v>
      </c>
      <c r="DA168">
        <v>1</v>
      </c>
      <c r="DB168">
        <v>0</v>
      </c>
      <c r="DC168">
        <v>0</v>
      </c>
      <c r="DD168">
        <v>0</v>
      </c>
      <c r="DE168">
        <v>0</v>
      </c>
      <c r="DF168">
        <v>0</v>
      </c>
      <c r="DG168">
        <v>0</v>
      </c>
      <c r="DH168">
        <v>0</v>
      </c>
      <c r="DI168">
        <v>0</v>
      </c>
    </row>
    <row r="169" spans="1:113" x14ac:dyDescent="0.3">
      <c r="A169" t="str">
        <f>"09/28/2021 13:51:54.307"</f>
        <v>09/28/2021 13:51:54.307</v>
      </c>
      <c r="C169" t="str">
        <f t="shared" si="11"/>
        <v>FFDFD3C0</v>
      </c>
      <c r="D169" t="s">
        <v>113</v>
      </c>
      <c r="E169">
        <v>7</v>
      </c>
      <c r="H169">
        <v>170</v>
      </c>
      <c r="I169" t="s">
        <v>114</v>
      </c>
      <c r="J169" t="s">
        <v>115</v>
      </c>
      <c r="K169">
        <v>0</v>
      </c>
      <c r="L169">
        <v>3</v>
      </c>
      <c r="M169">
        <v>0</v>
      </c>
      <c r="N169">
        <v>2</v>
      </c>
      <c r="O169">
        <v>1</v>
      </c>
      <c r="P169">
        <v>0</v>
      </c>
      <c r="Q169">
        <v>0</v>
      </c>
      <c r="S169" t="str">
        <f>"13:51:54.117"</f>
        <v>13:51:54.117</v>
      </c>
      <c r="T169" t="str">
        <f>"13:51:53.617"</f>
        <v>13:51:53.617</v>
      </c>
      <c r="U169" t="str">
        <f t="shared" si="10"/>
        <v>A92BC1</v>
      </c>
      <c r="V169">
        <v>0</v>
      </c>
      <c r="W169">
        <v>0</v>
      </c>
      <c r="X169">
        <v>2</v>
      </c>
      <c r="Z169">
        <v>0</v>
      </c>
      <c r="AA169">
        <v>9</v>
      </c>
      <c r="AB169">
        <v>3</v>
      </c>
      <c r="AC169">
        <v>0</v>
      </c>
      <c r="AD169">
        <v>10</v>
      </c>
      <c r="AE169">
        <v>0</v>
      </c>
      <c r="AF169">
        <v>3</v>
      </c>
      <c r="AG169">
        <v>2</v>
      </c>
      <c r="AH169">
        <v>0</v>
      </c>
      <c r="AI169" t="s">
        <v>271</v>
      </c>
      <c r="AJ169">
        <v>45.669607999999997</v>
      </c>
      <c r="AK169" t="s">
        <v>272</v>
      </c>
      <c r="AL169">
        <v>-89.492569000000003</v>
      </c>
      <c r="AM169">
        <v>100</v>
      </c>
      <c r="AN169">
        <v>4600</v>
      </c>
      <c r="AO169" t="s">
        <v>118</v>
      </c>
      <c r="AP169">
        <v>126</v>
      </c>
      <c r="AQ169">
        <v>101</v>
      </c>
      <c r="AR169">
        <v>2112</v>
      </c>
      <c r="AZ169">
        <v>1200</v>
      </c>
      <c r="BA169">
        <v>1</v>
      </c>
      <c r="BB169" t="str">
        <f t="shared" si="12"/>
        <v xml:space="preserve">N690LS  </v>
      </c>
      <c r="BC169">
        <v>1</v>
      </c>
      <c r="BE169">
        <v>0</v>
      </c>
      <c r="BF169">
        <v>0</v>
      </c>
      <c r="BG169">
        <v>0</v>
      </c>
      <c r="BH169">
        <v>4675</v>
      </c>
      <c r="BI169">
        <v>1</v>
      </c>
      <c r="BJ169">
        <v>1</v>
      </c>
      <c r="BK169">
        <v>1</v>
      </c>
      <c r="BL169">
        <v>0</v>
      </c>
      <c r="BO169">
        <v>0</v>
      </c>
      <c r="BP169">
        <v>0</v>
      </c>
      <c r="BW169" t="str">
        <f>"13:51:54.118"</f>
        <v>13:51:54.118</v>
      </c>
      <c r="CJ169">
        <v>0</v>
      </c>
      <c r="CK169">
        <v>2</v>
      </c>
      <c r="CL169">
        <v>0</v>
      </c>
      <c r="CM169">
        <v>2</v>
      </c>
      <c r="CN169">
        <v>0</v>
      </c>
      <c r="CO169">
        <v>7</v>
      </c>
      <c r="CP169" t="s">
        <v>119</v>
      </c>
      <c r="CQ169">
        <v>197</v>
      </c>
      <c r="CR169">
        <v>2</v>
      </c>
      <c r="CW169">
        <v>2166141</v>
      </c>
      <c r="CY169">
        <v>1</v>
      </c>
      <c r="CZ169">
        <v>0</v>
      </c>
      <c r="DA169">
        <v>0</v>
      </c>
      <c r="DB169">
        <v>0</v>
      </c>
      <c r="DC169">
        <v>0</v>
      </c>
      <c r="DD169">
        <v>0</v>
      </c>
      <c r="DE169">
        <v>0</v>
      </c>
      <c r="DF169">
        <v>0</v>
      </c>
      <c r="DG169">
        <v>0</v>
      </c>
      <c r="DH169">
        <v>0</v>
      </c>
      <c r="DI169">
        <v>0</v>
      </c>
    </row>
    <row r="170" spans="1:113" x14ac:dyDescent="0.3">
      <c r="A170" t="str">
        <f>"09/28/2021 13:51:54.322"</f>
        <v>09/28/2021 13:51:54.322</v>
      </c>
      <c r="C170" t="str">
        <f t="shared" si="11"/>
        <v>FFDFD3C0</v>
      </c>
      <c r="D170" t="s">
        <v>120</v>
      </c>
      <c r="E170">
        <v>12</v>
      </c>
      <c r="F170">
        <v>1012</v>
      </c>
      <c r="G170" t="s">
        <v>114</v>
      </c>
      <c r="J170" t="s">
        <v>121</v>
      </c>
      <c r="K170">
        <v>0</v>
      </c>
      <c r="L170">
        <v>3</v>
      </c>
      <c r="M170">
        <v>0</v>
      </c>
      <c r="N170">
        <v>2</v>
      </c>
      <c r="O170">
        <v>1</v>
      </c>
      <c r="P170">
        <v>0</v>
      </c>
      <c r="Q170">
        <v>0</v>
      </c>
      <c r="S170" t="str">
        <f>"13:51:54.117"</f>
        <v>13:51:54.117</v>
      </c>
      <c r="T170" t="str">
        <f>"13:51:53.617"</f>
        <v>13:51:53.617</v>
      </c>
      <c r="U170" t="str">
        <f t="shared" si="10"/>
        <v>A92BC1</v>
      </c>
      <c r="V170">
        <v>0</v>
      </c>
      <c r="W170">
        <v>0</v>
      </c>
      <c r="X170">
        <v>2</v>
      </c>
      <c r="Z170">
        <v>0</v>
      </c>
      <c r="AA170">
        <v>9</v>
      </c>
      <c r="AB170">
        <v>3</v>
      </c>
      <c r="AC170">
        <v>0</v>
      </c>
      <c r="AD170">
        <v>10</v>
      </c>
      <c r="AE170">
        <v>0</v>
      </c>
      <c r="AF170">
        <v>3</v>
      </c>
      <c r="AG170">
        <v>2</v>
      </c>
      <c r="AH170">
        <v>0</v>
      </c>
      <c r="AI170" t="s">
        <v>271</v>
      </c>
      <c r="AJ170">
        <v>45.669607999999997</v>
      </c>
      <c r="AK170" t="s">
        <v>272</v>
      </c>
      <c r="AL170">
        <v>-89.492569000000003</v>
      </c>
      <c r="AM170">
        <v>100</v>
      </c>
      <c r="AN170">
        <v>4600</v>
      </c>
      <c r="AO170" t="s">
        <v>118</v>
      </c>
      <c r="AP170">
        <v>126</v>
      </c>
      <c r="AQ170">
        <v>101</v>
      </c>
      <c r="AR170">
        <v>2112</v>
      </c>
      <c r="AZ170">
        <v>1200</v>
      </c>
      <c r="BA170">
        <v>1</v>
      </c>
      <c r="BB170" t="str">
        <f t="shared" si="12"/>
        <v xml:space="preserve">N690LS  </v>
      </c>
      <c r="BC170">
        <v>1</v>
      </c>
      <c r="BE170">
        <v>0</v>
      </c>
      <c r="BF170">
        <v>0</v>
      </c>
      <c r="BG170">
        <v>0</v>
      </c>
      <c r="BH170">
        <v>4675</v>
      </c>
      <c r="BI170">
        <v>1</v>
      </c>
      <c r="BJ170">
        <v>1</v>
      </c>
      <c r="BK170">
        <v>1</v>
      </c>
      <c r="BL170">
        <v>0</v>
      </c>
      <c r="BO170">
        <v>0</v>
      </c>
      <c r="BP170">
        <v>0</v>
      </c>
      <c r="BW170" t="str">
        <f>"13:51:54.118"</f>
        <v>13:51:54.118</v>
      </c>
      <c r="CJ170">
        <v>0</v>
      </c>
      <c r="CK170">
        <v>2</v>
      </c>
      <c r="CL170">
        <v>0</v>
      </c>
      <c r="CM170">
        <v>2</v>
      </c>
      <c r="CN170">
        <v>0</v>
      </c>
      <c r="CO170">
        <v>7</v>
      </c>
      <c r="CP170" t="s">
        <v>119</v>
      </c>
      <c r="CQ170">
        <v>197</v>
      </c>
      <c r="CR170">
        <v>2</v>
      </c>
      <c r="CW170">
        <v>2166141</v>
      </c>
      <c r="CY170">
        <v>1</v>
      </c>
      <c r="CZ170">
        <v>0</v>
      </c>
      <c r="DA170">
        <v>1</v>
      </c>
      <c r="DB170">
        <v>0</v>
      </c>
      <c r="DC170">
        <v>0</v>
      </c>
      <c r="DD170">
        <v>0</v>
      </c>
      <c r="DE170">
        <v>0</v>
      </c>
      <c r="DF170">
        <v>0</v>
      </c>
      <c r="DG170">
        <v>0</v>
      </c>
      <c r="DH170">
        <v>0</v>
      </c>
      <c r="DI170">
        <v>0</v>
      </c>
    </row>
    <row r="171" spans="1:113" x14ac:dyDescent="0.3">
      <c r="A171" t="str">
        <f>"09/28/2021 13:51:55.275"</f>
        <v>09/28/2021 13:51:55.275</v>
      </c>
      <c r="C171" t="str">
        <f t="shared" si="11"/>
        <v>FFDFD3C0</v>
      </c>
      <c r="D171" t="s">
        <v>113</v>
      </c>
      <c r="E171">
        <v>7</v>
      </c>
      <c r="H171">
        <v>170</v>
      </c>
      <c r="I171" t="s">
        <v>114</v>
      </c>
      <c r="J171" t="s">
        <v>115</v>
      </c>
      <c r="K171">
        <v>0</v>
      </c>
      <c r="L171">
        <v>3</v>
      </c>
      <c r="M171">
        <v>0</v>
      </c>
      <c r="N171">
        <v>2</v>
      </c>
      <c r="O171">
        <v>1</v>
      </c>
      <c r="P171">
        <v>0</v>
      </c>
      <c r="Q171">
        <v>0</v>
      </c>
      <c r="S171" t="str">
        <f>"13:51:55.055"</f>
        <v>13:51:55.055</v>
      </c>
      <c r="T171" t="str">
        <f>"13:51:54.655"</f>
        <v>13:51:54.655</v>
      </c>
      <c r="U171" t="str">
        <f t="shared" si="10"/>
        <v>A92BC1</v>
      </c>
      <c r="V171">
        <v>0</v>
      </c>
      <c r="W171">
        <v>0</v>
      </c>
      <c r="X171">
        <v>2</v>
      </c>
      <c r="Z171">
        <v>0</v>
      </c>
      <c r="AA171">
        <v>9</v>
      </c>
      <c r="AB171">
        <v>3</v>
      </c>
      <c r="AC171">
        <v>0</v>
      </c>
      <c r="AD171">
        <v>10</v>
      </c>
      <c r="AE171">
        <v>0</v>
      </c>
      <c r="AF171">
        <v>3</v>
      </c>
      <c r="AG171">
        <v>2</v>
      </c>
      <c r="AH171">
        <v>0</v>
      </c>
      <c r="AI171" t="s">
        <v>273</v>
      </c>
      <c r="AJ171">
        <v>45.670079999999999</v>
      </c>
      <c r="AK171" t="s">
        <v>151</v>
      </c>
      <c r="AL171">
        <v>-89.491754</v>
      </c>
      <c r="AM171">
        <v>100</v>
      </c>
      <c r="AN171">
        <v>4600</v>
      </c>
      <c r="AO171" t="s">
        <v>118</v>
      </c>
      <c r="AP171">
        <v>129</v>
      </c>
      <c r="AQ171">
        <v>97</v>
      </c>
      <c r="AR171">
        <v>2048</v>
      </c>
      <c r="AZ171">
        <v>1200</v>
      </c>
      <c r="BA171">
        <v>1</v>
      </c>
      <c r="BB171" t="str">
        <f t="shared" si="12"/>
        <v xml:space="preserve">N690LS  </v>
      </c>
      <c r="BC171">
        <v>1</v>
      </c>
      <c r="BE171">
        <v>0</v>
      </c>
      <c r="BF171">
        <v>0</v>
      </c>
      <c r="BG171">
        <v>0</v>
      </c>
      <c r="BH171">
        <v>4700</v>
      </c>
      <c r="BI171">
        <v>1</v>
      </c>
      <c r="BJ171">
        <v>1</v>
      </c>
      <c r="BK171">
        <v>1</v>
      </c>
      <c r="BL171">
        <v>0</v>
      </c>
      <c r="BO171">
        <v>0</v>
      </c>
      <c r="BP171">
        <v>0</v>
      </c>
      <c r="BW171" t="str">
        <f>"13:51:55.062"</f>
        <v>13:51:55.062</v>
      </c>
      <c r="CJ171">
        <v>0</v>
      </c>
      <c r="CK171">
        <v>2</v>
      </c>
      <c r="CL171">
        <v>0</v>
      </c>
      <c r="CM171">
        <v>2</v>
      </c>
      <c r="CN171">
        <v>0</v>
      </c>
      <c r="CO171">
        <v>6</v>
      </c>
      <c r="CP171" t="s">
        <v>119</v>
      </c>
      <c r="CQ171">
        <v>209</v>
      </c>
      <c r="CR171">
        <v>3</v>
      </c>
      <c r="CW171">
        <v>7137912</v>
      </c>
      <c r="CY171">
        <v>1</v>
      </c>
      <c r="CZ171">
        <v>0</v>
      </c>
      <c r="DA171">
        <v>0</v>
      </c>
      <c r="DB171">
        <v>0</v>
      </c>
      <c r="DC171">
        <v>0</v>
      </c>
      <c r="DD171">
        <v>0</v>
      </c>
      <c r="DE171">
        <v>0</v>
      </c>
      <c r="DF171">
        <v>0</v>
      </c>
      <c r="DG171">
        <v>0</v>
      </c>
      <c r="DH171">
        <v>0</v>
      </c>
      <c r="DI171">
        <v>0</v>
      </c>
    </row>
    <row r="172" spans="1:113" x14ac:dyDescent="0.3">
      <c r="A172" t="str">
        <f>"09/28/2021 13:51:55.275"</f>
        <v>09/28/2021 13:51:55.275</v>
      </c>
      <c r="C172" t="str">
        <f t="shared" si="11"/>
        <v>FFDFD3C0</v>
      </c>
      <c r="D172" t="s">
        <v>120</v>
      </c>
      <c r="E172">
        <v>12</v>
      </c>
      <c r="F172">
        <v>1012</v>
      </c>
      <c r="G172" t="s">
        <v>114</v>
      </c>
      <c r="J172" t="s">
        <v>121</v>
      </c>
      <c r="K172">
        <v>0</v>
      </c>
      <c r="L172">
        <v>3</v>
      </c>
      <c r="M172">
        <v>0</v>
      </c>
      <c r="N172">
        <v>2</v>
      </c>
      <c r="O172">
        <v>1</v>
      </c>
      <c r="P172">
        <v>0</v>
      </c>
      <c r="Q172">
        <v>0</v>
      </c>
      <c r="S172" t="str">
        <f>"13:51:55.055"</f>
        <v>13:51:55.055</v>
      </c>
      <c r="T172" t="str">
        <f>"13:51:54.655"</f>
        <v>13:51:54.655</v>
      </c>
      <c r="U172" t="str">
        <f t="shared" si="10"/>
        <v>A92BC1</v>
      </c>
      <c r="V172">
        <v>0</v>
      </c>
      <c r="W172">
        <v>0</v>
      </c>
      <c r="X172">
        <v>2</v>
      </c>
      <c r="Z172">
        <v>0</v>
      </c>
      <c r="AA172">
        <v>9</v>
      </c>
      <c r="AB172">
        <v>3</v>
      </c>
      <c r="AC172">
        <v>0</v>
      </c>
      <c r="AD172">
        <v>10</v>
      </c>
      <c r="AE172">
        <v>0</v>
      </c>
      <c r="AF172">
        <v>3</v>
      </c>
      <c r="AG172">
        <v>2</v>
      </c>
      <c r="AH172">
        <v>0</v>
      </c>
      <c r="AI172" t="s">
        <v>273</v>
      </c>
      <c r="AJ172">
        <v>45.670079999999999</v>
      </c>
      <c r="AK172" t="s">
        <v>151</v>
      </c>
      <c r="AL172">
        <v>-89.491754</v>
      </c>
      <c r="AM172">
        <v>100</v>
      </c>
      <c r="AN172">
        <v>4600</v>
      </c>
      <c r="AO172" t="s">
        <v>118</v>
      </c>
      <c r="AP172">
        <v>129</v>
      </c>
      <c r="AQ172">
        <v>97</v>
      </c>
      <c r="AR172">
        <v>2048</v>
      </c>
      <c r="AZ172">
        <v>1200</v>
      </c>
      <c r="BA172">
        <v>1</v>
      </c>
      <c r="BB172" t="str">
        <f t="shared" si="12"/>
        <v xml:space="preserve">N690LS  </v>
      </c>
      <c r="BC172">
        <v>1</v>
      </c>
      <c r="BE172">
        <v>0</v>
      </c>
      <c r="BF172">
        <v>0</v>
      </c>
      <c r="BG172">
        <v>0</v>
      </c>
      <c r="BH172">
        <v>4700</v>
      </c>
      <c r="BI172">
        <v>1</v>
      </c>
      <c r="BJ172">
        <v>1</v>
      </c>
      <c r="BK172">
        <v>1</v>
      </c>
      <c r="BL172">
        <v>0</v>
      </c>
      <c r="BO172">
        <v>0</v>
      </c>
      <c r="BP172">
        <v>0</v>
      </c>
      <c r="BW172" t="str">
        <f>"13:51:55.062"</f>
        <v>13:51:55.062</v>
      </c>
      <c r="CJ172">
        <v>0</v>
      </c>
      <c r="CK172">
        <v>2</v>
      </c>
      <c r="CL172">
        <v>0</v>
      </c>
      <c r="CM172">
        <v>2</v>
      </c>
      <c r="CN172">
        <v>0</v>
      </c>
      <c r="CO172">
        <v>6</v>
      </c>
      <c r="CP172" t="s">
        <v>119</v>
      </c>
      <c r="CQ172">
        <v>209</v>
      </c>
      <c r="CR172">
        <v>3</v>
      </c>
      <c r="CW172">
        <v>7137912</v>
      </c>
      <c r="CY172">
        <v>1</v>
      </c>
      <c r="CZ172">
        <v>0</v>
      </c>
      <c r="DA172">
        <v>1</v>
      </c>
      <c r="DB172">
        <v>0</v>
      </c>
      <c r="DC172">
        <v>0</v>
      </c>
      <c r="DD172">
        <v>0</v>
      </c>
      <c r="DE172">
        <v>0</v>
      </c>
      <c r="DF172">
        <v>0</v>
      </c>
      <c r="DG172">
        <v>0</v>
      </c>
      <c r="DH172">
        <v>0</v>
      </c>
      <c r="DI172">
        <v>0</v>
      </c>
    </row>
    <row r="173" spans="1:113" x14ac:dyDescent="0.3">
      <c r="A173" t="str">
        <f>"09/28/2021 13:51:56.229"</f>
        <v>09/28/2021 13:51:56.229</v>
      </c>
      <c r="C173" t="str">
        <f t="shared" si="11"/>
        <v>FFDFD3C0</v>
      </c>
      <c r="D173" t="s">
        <v>120</v>
      </c>
      <c r="E173">
        <v>12</v>
      </c>
      <c r="F173">
        <v>1012</v>
      </c>
      <c r="G173" t="s">
        <v>114</v>
      </c>
      <c r="J173" t="s">
        <v>121</v>
      </c>
      <c r="K173">
        <v>0</v>
      </c>
      <c r="L173">
        <v>3</v>
      </c>
      <c r="M173">
        <v>0</v>
      </c>
      <c r="N173">
        <v>2</v>
      </c>
      <c r="O173">
        <v>1</v>
      </c>
      <c r="P173">
        <v>0</v>
      </c>
      <c r="Q173">
        <v>0</v>
      </c>
      <c r="S173" t="str">
        <f>"13:51:55.992"</f>
        <v>13:51:55.992</v>
      </c>
      <c r="T173" t="str">
        <f>"13:51:55.492"</f>
        <v>13:51:55.492</v>
      </c>
      <c r="U173" t="str">
        <f t="shared" si="10"/>
        <v>A92BC1</v>
      </c>
      <c r="V173">
        <v>0</v>
      </c>
      <c r="W173">
        <v>0</v>
      </c>
      <c r="X173">
        <v>2</v>
      </c>
      <c r="Z173">
        <v>0</v>
      </c>
      <c r="AA173">
        <v>9</v>
      </c>
      <c r="AB173">
        <v>3</v>
      </c>
      <c r="AC173">
        <v>0</v>
      </c>
      <c r="AD173">
        <v>10</v>
      </c>
      <c r="AE173">
        <v>0</v>
      </c>
      <c r="AF173">
        <v>3</v>
      </c>
      <c r="AG173">
        <v>2</v>
      </c>
      <c r="AH173">
        <v>0</v>
      </c>
      <c r="AI173" t="s">
        <v>274</v>
      </c>
      <c r="AJ173">
        <v>45.670445000000001</v>
      </c>
      <c r="AK173" t="s">
        <v>275</v>
      </c>
      <c r="AL173">
        <v>-89.490938</v>
      </c>
      <c r="AM173">
        <v>100</v>
      </c>
      <c r="AN173">
        <v>4700</v>
      </c>
      <c r="AO173" t="s">
        <v>118</v>
      </c>
      <c r="AP173">
        <v>132</v>
      </c>
      <c r="AQ173">
        <v>94</v>
      </c>
      <c r="AR173">
        <v>2048</v>
      </c>
      <c r="AZ173">
        <v>1200</v>
      </c>
      <c r="BA173">
        <v>1</v>
      </c>
      <c r="BB173" t="str">
        <f t="shared" si="12"/>
        <v xml:space="preserve">N690LS  </v>
      </c>
      <c r="BC173">
        <v>1</v>
      </c>
      <c r="BE173">
        <v>0</v>
      </c>
      <c r="BF173">
        <v>0</v>
      </c>
      <c r="BG173">
        <v>0</v>
      </c>
      <c r="BH173">
        <v>4750</v>
      </c>
      <c r="BI173">
        <v>1</v>
      </c>
      <c r="BJ173">
        <v>1</v>
      </c>
      <c r="BK173">
        <v>1</v>
      </c>
      <c r="BL173">
        <v>0</v>
      </c>
      <c r="BO173">
        <v>0</v>
      </c>
      <c r="BP173">
        <v>0</v>
      </c>
      <c r="BW173" t="str">
        <f>"13:51:56.000"</f>
        <v>13:51:56.000</v>
      </c>
      <c r="CJ173">
        <v>0</v>
      </c>
      <c r="CK173">
        <v>2</v>
      </c>
      <c r="CL173">
        <v>0</v>
      </c>
      <c r="CM173">
        <v>2</v>
      </c>
      <c r="CN173">
        <v>0</v>
      </c>
      <c r="CO173">
        <v>6</v>
      </c>
      <c r="CP173" t="s">
        <v>119</v>
      </c>
      <c r="CQ173">
        <v>209</v>
      </c>
      <c r="CR173">
        <v>3</v>
      </c>
      <c r="CW173">
        <v>7138228</v>
      </c>
      <c r="CY173">
        <v>1</v>
      </c>
      <c r="CZ173">
        <v>0</v>
      </c>
      <c r="DA173">
        <v>0</v>
      </c>
      <c r="DB173">
        <v>0</v>
      </c>
      <c r="DC173">
        <v>0</v>
      </c>
      <c r="DD173">
        <v>0</v>
      </c>
      <c r="DE173">
        <v>0</v>
      </c>
      <c r="DF173">
        <v>0</v>
      </c>
      <c r="DG173">
        <v>0</v>
      </c>
      <c r="DH173">
        <v>0</v>
      </c>
      <c r="DI173">
        <v>0</v>
      </c>
    </row>
    <row r="174" spans="1:113" x14ac:dyDescent="0.3">
      <c r="A174" t="str">
        <f>"09/28/2021 13:51:56.229"</f>
        <v>09/28/2021 13:51:56.229</v>
      </c>
      <c r="C174" t="str">
        <f t="shared" si="11"/>
        <v>FFDFD3C0</v>
      </c>
      <c r="D174" t="s">
        <v>113</v>
      </c>
      <c r="E174">
        <v>7</v>
      </c>
      <c r="H174">
        <v>170</v>
      </c>
      <c r="I174" t="s">
        <v>114</v>
      </c>
      <c r="J174" t="s">
        <v>115</v>
      </c>
      <c r="K174">
        <v>0</v>
      </c>
      <c r="L174">
        <v>3</v>
      </c>
      <c r="M174">
        <v>0</v>
      </c>
      <c r="N174">
        <v>2</v>
      </c>
      <c r="O174">
        <v>1</v>
      </c>
      <c r="P174">
        <v>0</v>
      </c>
      <c r="Q174">
        <v>0</v>
      </c>
      <c r="S174" t="str">
        <f>"13:51:55.992"</f>
        <v>13:51:55.992</v>
      </c>
      <c r="T174" t="str">
        <f>"13:51:55.492"</f>
        <v>13:51:55.492</v>
      </c>
      <c r="U174" t="str">
        <f t="shared" si="10"/>
        <v>A92BC1</v>
      </c>
      <c r="V174">
        <v>0</v>
      </c>
      <c r="W174">
        <v>0</v>
      </c>
      <c r="X174">
        <v>2</v>
      </c>
      <c r="Z174">
        <v>0</v>
      </c>
      <c r="AA174">
        <v>9</v>
      </c>
      <c r="AB174">
        <v>3</v>
      </c>
      <c r="AC174">
        <v>0</v>
      </c>
      <c r="AD174">
        <v>10</v>
      </c>
      <c r="AE174">
        <v>0</v>
      </c>
      <c r="AF174">
        <v>3</v>
      </c>
      <c r="AG174">
        <v>2</v>
      </c>
      <c r="AH174">
        <v>0</v>
      </c>
      <c r="AI174" t="s">
        <v>274</v>
      </c>
      <c r="AJ174">
        <v>45.670445000000001</v>
      </c>
      <c r="AK174" t="s">
        <v>275</v>
      </c>
      <c r="AL174">
        <v>-89.490938</v>
      </c>
      <c r="AM174">
        <v>100</v>
      </c>
      <c r="AN174">
        <v>4700</v>
      </c>
      <c r="AO174" t="s">
        <v>118</v>
      </c>
      <c r="AP174">
        <v>132</v>
      </c>
      <c r="AQ174">
        <v>94</v>
      </c>
      <c r="AR174">
        <v>2048</v>
      </c>
      <c r="AZ174">
        <v>1200</v>
      </c>
      <c r="BA174">
        <v>1</v>
      </c>
      <c r="BB174" t="str">
        <f t="shared" si="12"/>
        <v xml:space="preserve">N690LS  </v>
      </c>
      <c r="BC174">
        <v>1</v>
      </c>
      <c r="BE174">
        <v>0</v>
      </c>
      <c r="BF174">
        <v>0</v>
      </c>
      <c r="BG174">
        <v>0</v>
      </c>
      <c r="BH174">
        <v>4750</v>
      </c>
      <c r="BI174">
        <v>1</v>
      </c>
      <c r="BJ174">
        <v>1</v>
      </c>
      <c r="BK174">
        <v>1</v>
      </c>
      <c r="BL174">
        <v>0</v>
      </c>
      <c r="BO174">
        <v>0</v>
      </c>
      <c r="BP174">
        <v>0</v>
      </c>
      <c r="BW174" t="str">
        <f>"13:51:56.000"</f>
        <v>13:51:56.000</v>
      </c>
      <c r="CJ174">
        <v>0</v>
      </c>
      <c r="CK174">
        <v>2</v>
      </c>
      <c r="CL174">
        <v>0</v>
      </c>
      <c r="CM174">
        <v>2</v>
      </c>
      <c r="CN174">
        <v>0</v>
      </c>
      <c r="CO174">
        <v>6</v>
      </c>
      <c r="CP174" t="s">
        <v>119</v>
      </c>
      <c r="CQ174">
        <v>209</v>
      </c>
      <c r="CR174">
        <v>3</v>
      </c>
      <c r="CW174">
        <v>7138228</v>
      </c>
      <c r="CY174">
        <v>1</v>
      </c>
      <c r="CZ174">
        <v>0</v>
      </c>
      <c r="DA174">
        <v>1</v>
      </c>
      <c r="DB174">
        <v>0</v>
      </c>
      <c r="DC174">
        <v>0</v>
      </c>
      <c r="DD174">
        <v>0</v>
      </c>
      <c r="DE174">
        <v>0</v>
      </c>
      <c r="DF174">
        <v>0</v>
      </c>
      <c r="DG174">
        <v>0</v>
      </c>
      <c r="DH174">
        <v>0</v>
      </c>
      <c r="DI174">
        <v>0</v>
      </c>
    </row>
    <row r="175" spans="1:113" x14ac:dyDescent="0.3">
      <c r="A175" t="str">
        <f>"09/28/2021 13:51:57.274"</f>
        <v>09/28/2021 13:51:57.274</v>
      </c>
      <c r="C175" t="str">
        <f t="shared" si="11"/>
        <v>FFDFD3C0</v>
      </c>
      <c r="D175" t="s">
        <v>120</v>
      </c>
      <c r="E175">
        <v>12</v>
      </c>
      <c r="F175">
        <v>1012</v>
      </c>
      <c r="G175" t="s">
        <v>114</v>
      </c>
      <c r="J175" t="s">
        <v>121</v>
      </c>
      <c r="K175">
        <v>0</v>
      </c>
      <c r="L175">
        <v>3</v>
      </c>
      <c r="M175">
        <v>0</v>
      </c>
      <c r="N175">
        <v>2</v>
      </c>
      <c r="O175">
        <v>1</v>
      </c>
      <c r="P175">
        <v>0</v>
      </c>
      <c r="Q175">
        <v>0</v>
      </c>
      <c r="S175" t="str">
        <f>"13:51:57.016"</f>
        <v>13:51:57.016</v>
      </c>
      <c r="T175" t="str">
        <f>"13:51:56.616"</f>
        <v>13:51:56.616</v>
      </c>
      <c r="U175" t="str">
        <f t="shared" si="10"/>
        <v>A92BC1</v>
      </c>
      <c r="V175">
        <v>0</v>
      </c>
      <c r="W175">
        <v>0</v>
      </c>
      <c r="X175">
        <v>2</v>
      </c>
      <c r="Z175">
        <v>0</v>
      </c>
      <c r="AA175">
        <v>9</v>
      </c>
      <c r="AB175">
        <v>3</v>
      </c>
      <c r="AC175">
        <v>0</v>
      </c>
      <c r="AD175">
        <v>10</v>
      </c>
      <c r="AE175">
        <v>0</v>
      </c>
      <c r="AF175">
        <v>3</v>
      </c>
      <c r="AG175">
        <v>2</v>
      </c>
      <c r="AH175">
        <v>0</v>
      </c>
      <c r="AI175" t="s">
        <v>276</v>
      </c>
      <c r="AJ175">
        <v>45.670917000000003</v>
      </c>
      <c r="AK175" t="s">
        <v>277</v>
      </c>
      <c r="AL175">
        <v>-89.489951000000005</v>
      </c>
      <c r="AM175">
        <v>100</v>
      </c>
      <c r="AN175">
        <v>4700</v>
      </c>
      <c r="AO175" t="s">
        <v>118</v>
      </c>
      <c r="AP175">
        <v>134</v>
      </c>
      <c r="AQ175">
        <v>91</v>
      </c>
      <c r="AR175">
        <v>1984</v>
      </c>
      <c r="AZ175">
        <v>1200</v>
      </c>
      <c r="BA175">
        <v>1</v>
      </c>
      <c r="BB175" t="str">
        <f t="shared" si="12"/>
        <v xml:space="preserve">N690LS  </v>
      </c>
      <c r="BC175">
        <v>1</v>
      </c>
      <c r="BE175">
        <v>0</v>
      </c>
      <c r="BF175">
        <v>0</v>
      </c>
      <c r="BG175">
        <v>0</v>
      </c>
      <c r="BH175">
        <v>4775</v>
      </c>
      <c r="BI175">
        <v>1</v>
      </c>
      <c r="BJ175">
        <v>1</v>
      </c>
      <c r="BK175">
        <v>1</v>
      </c>
      <c r="BL175">
        <v>0</v>
      </c>
      <c r="BO175">
        <v>0</v>
      </c>
      <c r="BP175">
        <v>0</v>
      </c>
      <c r="BW175" t="str">
        <f>"13:51:57.022"</f>
        <v>13:51:57.022</v>
      </c>
      <c r="CJ175">
        <v>0</v>
      </c>
      <c r="CK175">
        <v>2</v>
      </c>
      <c r="CL175">
        <v>0</v>
      </c>
      <c r="CM175">
        <v>2</v>
      </c>
      <c r="CN175">
        <v>0</v>
      </c>
      <c r="CO175">
        <v>7</v>
      </c>
      <c r="CP175" t="s">
        <v>119</v>
      </c>
      <c r="CQ175">
        <v>197</v>
      </c>
      <c r="CR175">
        <v>2</v>
      </c>
      <c r="CW175">
        <v>2168888</v>
      </c>
      <c r="CY175">
        <v>1</v>
      </c>
      <c r="CZ175">
        <v>0</v>
      </c>
      <c r="DA175">
        <v>0</v>
      </c>
      <c r="DB175">
        <v>0</v>
      </c>
      <c r="DC175">
        <v>0</v>
      </c>
      <c r="DD175">
        <v>0</v>
      </c>
      <c r="DE175">
        <v>0</v>
      </c>
      <c r="DF175">
        <v>0</v>
      </c>
      <c r="DG175">
        <v>0</v>
      </c>
      <c r="DH175">
        <v>0</v>
      </c>
      <c r="DI175">
        <v>0</v>
      </c>
    </row>
    <row r="176" spans="1:113" x14ac:dyDescent="0.3">
      <c r="A176" t="str">
        <f>"09/28/2021 13:51:57.274"</f>
        <v>09/28/2021 13:51:57.274</v>
      </c>
      <c r="C176" t="str">
        <f t="shared" si="11"/>
        <v>FFDFD3C0</v>
      </c>
      <c r="D176" t="s">
        <v>113</v>
      </c>
      <c r="E176">
        <v>7</v>
      </c>
      <c r="H176">
        <v>170</v>
      </c>
      <c r="I176" t="s">
        <v>114</v>
      </c>
      <c r="J176" t="s">
        <v>115</v>
      </c>
      <c r="K176">
        <v>0</v>
      </c>
      <c r="L176">
        <v>3</v>
      </c>
      <c r="M176">
        <v>0</v>
      </c>
      <c r="N176">
        <v>2</v>
      </c>
      <c r="O176">
        <v>1</v>
      </c>
      <c r="P176">
        <v>0</v>
      </c>
      <c r="Q176">
        <v>0</v>
      </c>
      <c r="S176" t="str">
        <f>"13:51:57.016"</f>
        <v>13:51:57.016</v>
      </c>
      <c r="T176" t="str">
        <f>"13:51:56.616"</f>
        <v>13:51:56.616</v>
      </c>
      <c r="U176" t="str">
        <f t="shared" si="10"/>
        <v>A92BC1</v>
      </c>
      <c r="V176">
        <v>0</v>
      </c>
      <c r="W176">
        <v>0</v>
      </c>
      <c r="X176">
        <v>2</v>
      </c>
      <c r="Z176">
        <v>0</v>
      </c>
      <c r="AA176">
        <v>9</v>
      </c>
      <c r="AB176">
        <v>3</v>
      </c>
      <c r="AC176">
        <v>0</v>
      </c>
      <c r="AD176">
        <v>10</v>
      </c>
      <c r="AE176">
        <v>0</v>
      </c>
      <c r="AF176">
        <v>3</v>
      </c>
      <c r="AG176">
        <v>2</v>
      </c>
      <c r="AH176">
        <v>0</v>
      </c>
      <c r="AI176" t="s">
        <v>276</v>
      </c>
      <c r="AJ176">
        <v>45.670917000000003</v>
      </c>
      <c r="AK176" t="s">
        <v>277</v>
      </c>
      <c r="AL176">
        <v>-89.489951000000005</v>
      </c>
      <c r="AM176">
        <v>100</v>
      </c>
      <c r="AN176">
        <v>4700</v>
      </c>
      <c r="AO176" t="s">
        <v>118</v>
      </c>
      <c r="AP176">
        <v>134</v>
      </c>
      <c r="AQ176">
        <v>91</v>
      </c>
      <c r="AR176">
        <v>1984</v>
      </c>
      <c r="AZ176">
        <v>1200</v>
      </c>
      <c r="BA176">
        <v>1</v>
      </c>
      <c r="BB176" t="str">
        <f t="shared" si="12"/>
        <v xml:space="preserve">N690LS  </v>
      </c>
      <c r="BC176">
        <v>1</v>
      </c>
      <c r="BE176">
        <v>0</v>
      </c>
      <c r="BF176">
        <v>0</v>
      </c>
      <c r="BG176">
        <v>0</v>
      </c>
      <c r="BH176">
        <v>4775</v>
      </c>
      <c r="BI176">
        <v>1</v>
      </c>
      <c r="BJ176">
        <v>1</v>
      </c>
      <c r="BK176">
        <v>1</v>
      </c>
      <c r="BL176">
        <v>0</v>
      </c>
      <c r="BO176">
        <v>0</v>
      </c>
      <c r="BP176">
        <v>0</v>
      </c>
      <c r="BW176" t="str">
        <f>"13:51:57.022"</f>
        <v>13:51:57.022</v>
      </c>
      <c r="CJ176">
        <v>0</v>
      </c>
      <c r="CK176">
        <v>2</v>
      </c>
      <c r="CL176">
        <v>0</v>
      </c>
      <c r="CM176">
        <v>2</v>
      </c>
      <c r="CN176">
        <v>0</v>
      </c>
      <c r="CO176">
        <v>7</v>
      </c>
      <c r="CP176" t="s">
        <v>119</v>
      </c>
      <c r="CQ176">
        <v>197</v>
      </c>
      <c r="CR176">
        <v>2</v>
      </c>
      <c r="CW176">
        <v>2168888</v>
      </c>
      <c r="CY176">
        <v>1</v>
      </c>
      <c r="CZ176">
        <v>0</v>
      </c>
      <c r="DA176">
        <v>1</v>
      </c>
      <c r="DB176">
        <v>0</v>
      </c>
      <c r="DC176">
        <v>0</v>
      </c>
      <c r="DD176">
        <v>0</v>
      </c>
      <c r="DE176">
        <v>0</v>
      </c>
      <c r="DF176">
        <v>0</v>
      </c>
      <c r="DG176">
        <v>0</v>
      </c>
      <c r="DH176">
        <v>0</v>
      </c>
      <c r="DI176">
        <v>0</v>
      </c>
    </row>
    <row r="177" spans="1:113" x14ac:dyDescent="0.3">
      <c r="A177" t="str">
        <f>"09/28/2021 13:51:58.258"</f>
        <v>09/28/2021 13:51:58.258</v>
      </c>
      <c r="C177" t="str">
        <f t="shared" si="11"/>
        <v>FFDFD3C0</v>
      </c>
      <c r="D177" t="s">
        <v>120</v>
      </c>
      <c r="E177">
        <v>12</v>
      </c>
      <c r="F177">
        <v>1012</v>
      </c>
      <c r="G177" t="s">
        <v>114</v>
      </c>
      <c r="J177" t="s">
        <v>121</v>
      </c>
      <c r="K177">
        <v>0</v>
      </c>
      <c r="L177">
        <v>3</v>
      </c>
      <c r="M177">
        <v>0</v>
      </c>
      <c r="N177">
        <v>2</v>
      </c>
      <c r="O177">
        <v>1</v>
      </c>
      <c r="P177">
        <v>0</v>
      </c>
      <c r="Q177">
        <v>0</v>
      </c>
      <c r="S177" t="str">
        <f>"13:51:58.031"</f>
        <v>13:51:58.031</v>
      </c>
      <c r="T177" t="str">
        <f>"13:51:57.531"</f>
        <v>13:51:57.531</v>
      </c>
      <c r="U177" t="str">
        <f t="shared" si="10"/>
        <v>A92BC1</v>
      </c>
      <c r="V177">
        <v>0</v>
      </c>
      <c r="W177">
        <v>0</v>
      </c>
      <c r="X177">
        <v>2</v>
      </c>
      <c r="Z177">
        <v>0</v>
      </c>
      <c r="AA177">
        <v>9</v>
      </c>
      <c r="AB177">
        <v>3</v>
      </c>
      <c r="AC177">
        <v>0</v>
      </c>
      <c r="AD177">
        <v>10</v>
      </c>
      <c r="AE177">
        <v>0</v>
      </c>
      <c r="AF177">
        <v>3</v>
      </c>
      <c r="AG177">
        <v>2</v>
      </c>
      <c r="AH177">
        <v>0</v>
      </c>
      <c r="AI177" t="s">
        <v>278</v>
      </c>
      <c r="AJ177">
        <v>45.671325000000003</v>
      </c>
      <c r="AK177" t="s">
        <v>279</v>
      </c>
      <c r="AL177">
        <v>-89.489070999999996</v>
      </c>
      <c r="AM177">
        <v>100</v>
      </c>
      <c r="AN177">
        <v>4700</v>
      </c>
      <c r="AO177" t="s">
        <v>118</v>
      </c>
      <c r="AP177">
        <v>136</v>
      </c>
      <c r="AQ177">
        <v>89</v>
      </c>
      <c r="AR177">
        <v>1984</v>
      </c>
      <c r="AZ177">
        <v>1200</v>
      </c>
      <c r="BA177">
        <v>1</v>
      </c>
      <c r="BB177" t="str">
        <f t="shared" si="12"/>
        <v xml:space="preserve">N690LS  </v>
      </c>
      <c r="BC177">
        <v>1</v>
      </c>
      <c r="BE177">
        <v>0</v>
      </c>
      <c r="BF177">
        <v>0</v>
      </c>
      <c r="BG177">
        <v>0</v>
      </c>
      <c r="BH177">
        <v>4800</v>
      </c>
      <c r="BI177">
        <v>1</v>
      </c>
      <c r="BJ177">
        <v>1</v>
      </c>
      <c r="BK177">
        <v>1</v>
      </c>
      <c r="BL177">
        <v>0</v>
      </c>
      <c r="BO177">
        <v>0</v>
      </c>
      <c r="BP177">
        <v>0</v>
      </c>
      <c r="BW177" t="str">
        <f>"13:51:58.034"</f>
        <v>13:51:58.034</v>
      </c>
      <c r="CJ177">
        <v>0</v>
      </c>
      <c r="CK177">
        <v>2</v>
      </c>
      <c r="CL177">
        <v>0</v>
      </c>
      <c r="CM177">
        <v>2</v>
      </c>
      <c r="CN177">
        <v>0</v>
      </c>
      <c r="CO177">
        <v>6</v>
      </c>
      <c r="CP177" t="s">
        <v>119</v>
      </c>
      <c r="CQ177">
        <v>209</v>
      </c>
      <c r="CR177">
        <v>3</v>
      </c>
      <c r="CW177">
        <v>7138859</v>
      </c>
      <c r="CY177">
        <v>1</v>
      </c>
      <c r="CZ177">
        <v>0</v>
      </c>
      <c r="DA177">
        <v>0</v>
      </c>
      <c r="DB177">
        <v>0</v>
      </c>
      <c r="DC177">
        <v>0</v>
      </c>
      <c r="DD177">
        <v>0</v>
      </c>
      <c r="DE177">
        <v>0</v>
      </c>
      <c r="DF177">
        <v>0</v>
      </c>
      <c r="DG177">
        <v>0</v>
      </c>
      <c r="DH177">
        <v>0</v>
      </c>
      <c r="DI177">
        <v>0</v>
      </c>
    </row>
    <row r="178" spans="1:113" x14ac:dyDescent="0.3">
      <c r="A178" t="str">
        <f>"09/28/2021 13:51:58.258"</f>
        <v>09/28/2021 13:51:58.258</v>
      </c>
      <c r="C178" t="str">
        <f t="shared" si="11"/>
        <v>FFDFD3C0</v>
      </c>
      <c r="D178" t="s">
        <v>113</v>
      </c>
      <c r="E178">
        <v>7</v>
      </c>
      <c r="H178">
        <v>170</v>
      </c>
      <c r="I178" t="s">
        <v>114</v>
      </c>
      <c r="J178" t="s">
        <v>115</v>
      </c>
      <c r="K178">
        <v>0</v>
      </c>
      <c r="L178">
        <v>3</v>
      </c>
      <c r="M178">
        <v>0</v>
      </c>
      <c r="N178">
        <v>2</v>
      </c>
      <c r="O178">
        <v>1</v>
      </c>
      <c r="P178">
        <v>0</v>
      </c>
      <c r="Q178">
        <v>0</v>
      </c>
      <c r="S178" t="str">
        <f>"13:51:58.031"</f>
        <v>13:51:58.031</v>
      </c>
      <c r="T178" t="str">
        <f>"13:51:57.531"</f>
        <v>13:51:57.531</v>
      </c>
      <c r="U178" t="str">
        <f t="shared" si="10"/>
        <v>A92BC1</v>
      </c>
      <c r="V178">
        <v>0</v>
      </c>
      <c r="W178">
        <v>0</v>
      </c>
      <c r="X178">
        <v>2</v>
      </c>
      <c r="Z178">
        <v>0</v>
      </c>
      <c r="AA178">
        <v>9</v>
      </c>
      <c r="AB178">
        <v>3</v>
      </c>
      <c r="AC178">
        <v>0</v>
      </c>
      <c r="AD178">
        <v>10</v>
      </c>
      <c r="AE178">
        <v>0</v>
      </c>
      <c r="AF178">
        <v>3</v>
      </c>
      <c r="AG178">
        <v>2</v>
      </c>
      <c r="AH178">
        <v>0</v>
      </c>
      <c r="AI178" t="s">
        <v>278</v>
      </c>
      <c r="AJ178">
        <v>45.671325000000003</v>
      </c>
      <c r="AK178" t="s">
        <v>279</v>
      </c>
      <c r="AL178">
        <v>-89.489070999999996</v>
      </c>
      <c r="AM178">
        <v>100</v>
      </c>
      <c r="AN178">
        <v>4700</v>
      </c>
      <c r="AO178" t="s">
        <v>118</v>
      </c>
      <c r="AP178">
        <v>136</v>
      </c>
      <c r="AQ178">
        <v>89</v>
      </c>
      <c r="AR178">
        <v>1984</v>
      </c>
      <c r="AZ178">
        <v>1200</v>
      </c>
      <c r="BA178">
        <v>1</v>
      </c>
      <c r="BB178" t="str">
        <f t="shared" si="12"/>
        <v xml:space="preserve">N690LS  </v>
      </c>
      <c r="BC178">
        <v>1</v>
      </c>
      <c r="BE178">
        <v>0</v>
      </c>
      <c r="BF178">
        <v>0</v>
      </c>
      <c r="BG178">
        <v>0</v>
      </c>
      <c r="BH178">
        <v>4800</v>
      </c>
      <c r="BI178">
        <v>1</v>
      </c>
      <c r="BJ178">
        <v>1</v>
      </c>
      <c r="BK178">
        <v>1</v>
      </c>
      <c r="BL178">
        <v>0</v>
      </c>
      <c r="BO178">
        <v>0</v>
      </c>
      <c r="BP178">
        <v>0</v>
      </c>
      <c r="BW178" t="str">
        <f>"13:51:58.034"</f>
        <v>13:51:58.034</v>
      </c>
      <c r="CJ178">
        <v>0</v>
      </c>
      <c r="CK178">
        <v>2</v>
      </c>
      <c r="CL178">
        <v>0</v>
      </c>
      <c r="CM178">
        <v>2</v>
      </c>
      <c r="CN178">
        <v>0</v>
      </c>
      <c r="CO178">
        <v>6</v>
      </c>
      <c r="CP178" t="s">
        <v>119</v>
      </c>
      <c r="CQ178">
        <v>209</v>
      </c>
      <c r="CR178">
        <v>3</v>
      </c>
      <c r="CW178">
        <v>7138859</v>
      </c>
      <c r="CY178">
        <v>1</v>
      </c>
      <c r="CZ178">
        <v>0</v>
      </c>
      <c r="DA178">
        <v>1</v>
      </c>
      <c r="DB178">
        <v>0</v>
      </c>
      <c r="DC178">
        <v>0</v>
      </c>
      <c r="DD178">
        <v>0</v>
      </c>
      <c r="DE178">
        <v>0</v>
      </c>
      <c r="DF178">
        <v>0</v>
      </c>
      <c r="DG178">
        <v>0</v>
      </c>
      <c r="DH178">
        <v>0</v>
      </c>
      <c r="DI178">
        <v>0</v>
      </c>
    </row>
    <row r="179" spans="1:113" x14ac:dyDescent="0.3">
      <c r="A179" t="str">
        <f>"09/28/2021 13:51:59.306"</f>
        <v>09/28/2021 13:51:59.306</v>
      </c>
      <c r="C179" t="str">
        <f t="shared" si="11"/>
        <v>FFDFD3C0</v>
      </c>
      <c r="D179" t="s">
        <v>120</v>
      </c>
      <c r="E179">
        <v>12</v>
      </c>
      <c r="F179">
        <v>1012</v>
      </c>
      <c r="G179" t="s">
        <v>114</v>
      </c>
      <c r="J179" t="s">
        <v>121</v>
      </c>
      <c r="K179">
        <v>0</v>
      </c>
      <c r="L179">
        <v>3</v>
      </c>
      <c r="M179">
        <v>0</v>
      </c>
      <c r="N179">
        <v>2</v>
      </c>
      <c r="O179">
        <v>1</v>
      </c>
      <c r="P179">
        <v>0</v>
      </c>
      <c r="Q179">
        <v>0</v>
      </c>
      <c r="S179" t="str">
        <f>"13:51:59.094"</f>
        <v>13:51:59.094</v>
      </c>
      <c r="T179" t="str">
        <f>"13:51:58.694"</f>
        <v>13:51:58.694</v>
      </c>
      <c r="U179" t="str">
        <f t="shared" si="10"/>
        <v>A92BC1</v>
      </c>
      <c r="V179">
        <v>0</v>
      </c>
      <c r="W179">
        <v>0</v>
      </c>
      <c r="X179">
        <v>2</v>
      </c>
      <c r="Z179">
        <v>0</v>
      </c>
      <c r="AA179">
        <v>9</v>
      </c>
      <c r="AB179">
        <v>3</v>
      </c>
      <c r="AC179">
        <v>0</v>
      </c>
      <c r="AD179">
        <v>10</v>
      </c>
      <c r="AE179">
        <v>0</v>
      </c>
      <c r="AF179">
        <v>3</v>
      </c>
      <c r="AG179">
        <v>2</v>
      </c>
      <c r="AH179">
        <v>0</v>
      </c>
      <c r="AI179" t="s">
        <v>280</v>
      </c>
      <c r="AJ179">
        <v>45.671711000000002</v>
      </c>
      <c r="AK179" t="s">
        <v>281</v>
      </c>
      <c r="AL179">
        <v>-89.488169999999997</v>
      </c>
      <c r="AM179">
        <v>100</v>
      </c>
      <c r="AN179">
        <v>4800</v>
      </c>
      <c r="AO179" t="s">
        <v>118</v>
      </c>
      <c r="AP179">
        <v>138</v>
      </c>
      <c r="AQ179">
        <v>87</v>
      </c>
      <c r="AR179">
        <v>1920</v>
      </c>
      <c r="AZ179">
        <v>1200</v>
      </c>
      <c r="BA179">
        <v>1</v>
      </c>
      <c r="BB179" t="str">
        <f t="shared" si="12"/>
        <v xml:space="preserve">N690LS  </v>
      </c>
      <c r="BC179">
        <v>1</v>
      </c>
      <c r="BE179">
        <v>0</v>
      </c>
      <c r="BF179">
        <v>0</v>
      </c>
      <c r="BG179">
        <v>0</v>
      </c>
      <c r="BH179">
        <v>4825</v>
      </c>
      <c r="BI179">
        <v>1</v>
      </c>
      <c r="BJ179">
        <v>1</v>
      </c>
      <c r="BK179">
        <v>1</v>
      </c>
      <c r="BL179">
        <v>0</v>
      </c>
      <c r="BO179">
        <v>0</v>
      </c>
      <c r="BP179">
        <v>0</v>
      </c>
      <c r="BW179" t="str">
        <f>"13:51:59.096"</f>
        <v>13:51:59.096</v>
      </c>
      <c r="CJ179">
        <v>0</v>
      </c>
      <c r="CK179">
        <v>2</v>
      </c>
      <c r="CL179">
        <v>0</v>
      </c>
      <c r="CM179">
        <v>2</v>
      </c>
      <c r="CN179">
        <v>0</v>
      </c>
      <c r="CO179">
        <v>6</v>
      </c>
      <c r="CP179" t="s">
        <v>119</v>
      </c>
      <c r="CQ179">
        <v>209</v>
      </c>
      <c r="CR179">
        <v>3</v>
      </c>
      <c r="CW179">
        <v>7139191</v>
      </c>
      <c r="CY179">
        <v>1</v>
      </c>
      <c r="CZ179">
        <v>0</v>
      </c>
      <c r="DA179">
        <v>0</v>
      </c>
      <c r="DB179">
        <v>0</v>
      </c>
      <c r="DC179">
        <v>0</v>
      </c>
      <c r="DD179">
        <v>0</v>
      </c>
      <c r="DE179">
        <v>0</v>
      </c>
      <c r="DF179">
        <v>0</v>
      </c>
      <c r="DG179">
        <v>0</v>
      </c>
      <c r="DH179">
        <v>0</v>
      </c>
      <c r="DI179">
        <v>0</v>
      </c>
    </row>
    <row r="180" spans="1:113" x14ac:dyDescent="0.3">
      <c r="A180" t="str">
        <f>"09/28/2021 13:51:59.322"</f>
        <v>09/28/2021 13:51:59.322</v>
      </c>
      <c r="C180" t="str">
        <f t="shared" si="11"/>
        <v>FFDFD3C0</v>
      </c>
      <c r="D180" t="s">
        <v>113</v>
      </c>
      <c r="E180">
        <v>7</v>
      </c>
      <c r="H180">
        <v>170</v>
      </c>
      <c r="I180" t="s">
        <v>114</v>
      </c>
      <c r="J180" t="s">
        <v>115</v>
      </c>
      <c r="K180">
        <v>0</v>
      </c>
      <c r="L180">
        <v>3</v>
      </c>
      <c r="M180">
        <v>0</v>
      </c>
      <c r="N180">
        <v>2</v>
      </c>
      <c r="O180">
        <v>1</v>
      </c>
      <c r="P180">
        <v>0</v>
      </c>
      <c r="Q180">
        <v>0</v>
      </c>
      <c r="S180" t="str">
        <f>"13:51:59.094"</f>
        <v>13:51:59.094</v>
      </c>
      <c r="T180" t="str">
        <f>"13:51:58.694"</f>
        <v>13:51:58.694</v>
      </c>
      <c r="U180" t="str">
        <f t="shared" si="10"/>
        <v>A92BC1</v>
      </c>
      <c r="V180">
        <v>0</v>
      </c>
      <c r="W180">
        <v>0</v>
      </c>
      <c r="X180">
        <v>2</v>
      </c>
      <c r="Z180">
        <v>0</v>
      </c>
      <c r="AA180">
        <v>9</v>
      </c>
      <c r="AB180">
        <v>3</v>
      </c>
      <c r="AC180">
        <v>0</v>
      </c>
      <c r="AD180">
        <v>10</v>
      </c>
      <c r="AE180">
        <v>0</v>
      </c>
      <c r="AF180">
        <v>3</v>
      </c>
      <c r="AG180">
        <v>2</v>
      </c>
      <c r="AH180">
        <v>0</v>
      </c>
      <c r="AI180" t="s">
        <v>280</v>
      </c>
      <c r="AJ180">
        <v>45.671711000000002</v>
      </c>
      <c r="AK180" t="s">
        <v>281</v>
      </c>
      <c r="AL180">
        <v>-89.488169999999997</v>
      </c>
      <c r="AM180">
        <v>100</v>
      </c>
      <c r="AN180">
        <v>4800</v>
      </c>
      <c r="AO180" t="s">
        <v>118</v>
      </c>
      <c r="AP180">
        <v>138</v>
      </c>
      <c r="AQ180">
        <v>87</v>
      </c>
      <c r="AR180">
        <v>1920</v>
      </c>
      <c r="AZ180">
        <v>1200</v>
      </c>
      <c r="BA180">
        <v>1</v>
      </c>
      <c r="BB180" t="str">
        <f t="shared" si="12"/>
        <v xml:space="preserve">N690LS  </v>
      </c>
      <c r="BC180">
        <v>1</v>
      </c>
      <c r="BE180">
        <v>0</v>
      </c>
      <c r="BF180">
        <v>0</v>
      </c>
      <c r="BG180">
        <v>0</v>
      </c>
      <c r="BH180">
        <v>4825</v>
      </c>
      <c r="BI180">
        <v>1</v>
      </c>
      <c r="BJ180">
        <v>1</v>
      </c>
      <c r="BK180">
        <v>1</v>
      </c>
      <c r="BL180">
        <v>0</v>
      </c>
      <c r="BO180">
        <v>0</v>
      </c>
      <c r="BP180">
        <v>0</v>
      </c>
      <c r="BW180" t="str">
        <f>"13:51:59.096"</f>
        <v>13:51:59.096</v>
      </c>
      <c r="CJ180">
        <v>0</v>
      </c>
      <c r="CK180">
        <v>2</v>
      </c>
      <c r="CL180">
        <v>0</v>
      </c>
      <c r="CM180">
        <v>2</v>
      </c>
      <c r="CN180">
        <v>0</v>
      </c>
      <c r="CO180">
        <v>6</v>
      </c>
      <c r="CP180" t="s">
        <v>119</v>
      </c>
      <c r="CQ180">
        <v>209</v>
      </c>
      <c r="CR180">
        <v>3</v>
      </c>
      <c r="CW180">
        <v>7139191</v>
      </c>
      <c r="CY180">
        <v>1</v>
      </c>
      <c r="CZ180">
        <v>0</v>
      </c>
      <c r="DA180">
        <v>1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</row>
    <row r="181" spans="1:113" x14ac:dyDescent="0.3">
      <c r="A181" t="str">
        <f>"09/28/2021 13:52:00.369"</f>
        <v>09/28/2021 13:52:00.369</v>
      </c>
      <c r="C181" t="str">
        <f t="shared" si="11"/>
        <v>FFDFD3C0</v>
      </c>
      <c r="D181" t="s">
        <v>120</v>
      </c>
      <c r="E181">
        <v>12</v>
      </c>
      <c r="F181">
        <v>1012</v>
      </c>
      <c r="G181" t="s">
        <v>114</v>
      </c>
      <c r="J181" t="s">
        <v>121</v>
      </c>
      <c r="K181">
        <v>0</v>
      </c>
      <c r="L181">
        <v>3</v>
      </c>
      <c r="M181">
        <v>0</v>
      </c>
      <c r="N181">
        <v>2</v>
      </c>
      <c r="O181">
        <v>1</v>
      </c>
      <c r="P181">
        <v>0</v>
      </c>
      <c r="Q181">
        <v>0</v>
      </c>
      <c r="S181" t="str">
        <f>"13:52:00.156"</f>
        <v>13:52:00.156</v>
      </c>
      <c r="T181" t="str">
        <f>"13:51:59.656"</f>
        <v>13:51:59.656</v>
      </c>
      <c r="U181" t="str">
        <f t="shared" si="10"/>
        <v>A92BC1</v>
      </c>
      <c r="V181">
        <v>0</v>
      </c>
      <c r="W181">
        <v>0</v>
      </c>
      <c r="X181">
        <v>2</v>
      </c>
      <c r="Z181">
        <v>0</v>
      </c>
      <c r="AA181">
        <v>9</v>
      </c>
      <c r="AB181">
        <v>3</v>
      </c>
      <c r="AC181">
        <v>0</v>
      </c>
      <c r="AD181">
        <v>10</v>
      </c>
      <c r="AE181">
        <v>0</v>
      </c>
      <c r="AF181">
        <v>3</v>
      </c>
      <c r="AG181">
        <v>2</v>
      </c>
      <c r="AH181">
        <v>0</v>
      </c>
      <c r="AI181" t="s">
        <v>282</v>
      </c>
      <c r="AJ181">
        <v>45.672139999999999</v>
      </c>
      <c r="AK181" t="s">
        <v>283</v>
      </c>
      <c r="AL181">
        <v>-89.487119000000007</v>
      </c>
      <c r="AM181">
        <v>100</v>
      </c>
      <c r="AN181">
        <v>4800</v>
      </c>
      <c r="AO181" t="s">
        <v>118</v>
      </c>
      <c r="AP181">
        <v>139</v>
      </c>
      <c r="AQ181">
        <v>85</v>
      </c>
      <c r="AR181">
        <v>1920</v>
      </c>
      <c r="AZ181">
        <v>1200</v>
      </c>
      <c r="BA181">
        <v>1</v>
      </c>
      <c r="BB181" t="str">
        <f t="shared" si="12"/>
        <v xml:space="preserve">N690LS  </v>
      </c>
      <c r="BC181">
        <v>1</v>
      </c>
      <c r="BE181">
        <v>0</v>
      </c>
      <c r="BF181">
        <v>0</v>
      </c>
      <c r="BG181">
        <v>0</v>
      </c>
      <c r="BH181">
        <v>4875</v>
      </c>
      <c r="BI181">
        <v>1</v>
      </c>
      <c r="BJ181">
        <v>1</v>
      </c>
      <c r="BK181">
        <v>1</v>
      </c>
      <c r="BL181">
        <v>0</v>
      </c>
      <c r="BO181">
        <v>0</v>
      </c>
      <c r="BP181">
        <v>0</v>
      </c>
      <c r="BW181" t="str">
        <f>"13:52:00.161"</f>
        <v>13:52:00.161</v>
      </c>
      <c r="CJ181">
        <v>0</v>
      </c>
      <c r="CK181">
        <v>2</v>
      </c>
      <c r="CL181">
        <v>0</v>
      </c>
      <c r="CM181">
        <v>2</v>
      </c>
      <c r="CN181">
        <v>0</v>
      </c>
      <c r="CO181">
        <v>7</v>
      </c>
      <c r="CP181" t="s">
        <v>119</v>
      </c>
      <c r="CQ181">
        <v>197</v>
      </c>
      <c r="CR181">
        <v>2</v>
      </c>
      <c r="CW181">
        <v>2171781</v>
      </c>
      <c r="CY181">
        <v>1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</row>
    <row r="182" spans="1:113" x14ac:dyDescent="0.3">
      <c r="A182" t="str">
        <f>"09/28/2021 13:52:00.385"</f>
        <v>09/28/2021 13:52:00.385</v>
      </c>
      <c r="C182" t="str">
        <f t="shared" si="11"/>
        <v>FFDFD3C0</v>
      </c>
      <c r="D182" t="s">
        <v>113</v>
      </c>
      <c r="E182">
        <v>7</v>
      </c>
      <c r="H182">
        <v>170</v>
      </c>
      <c r="I182" t="s">
        <v>114</v>
      </c>
      <c r="J182" t="s">
        <v>115</v>
      </c>
      <c r="K182">
        <v>0</v>
      </c>
      <c r="L182">
        <v>3</v>
      </c>
      <c r="M182">
        <v>0</v>
      </c>
      <c r="N182">
        <v>2</v>
      </c>
      <c r="O182">
        <v>1</v>
      </c>
      <c r="P182">
        <v>0</v>
      </c>
      <c r="Q182">
        <v>0</v>
      </c>
      <c r="S182" t="str">
        <f>"13:52:00.156"</f>
        <v>13:52:00.156</v>
      </c>
      <c r="T182" t="str">
        <f>"13:51:59.656"</f>
        <v>13:51:59.656</v>
      </c>
      <c r="U182" t="str">
        <f t="shared" si="10"/>
        <v>A92BC1</v>
      </c>
      <c r="V182">
        <v>0</v>
      </c>
      <c r="W182">
        <v>0</v>
      </c>
      <c r="X182">
        <v>2</v>
      </c>
      <c r="Z182">
        <v>0</v>
      </c>
      <c r="AA182">
        <v>9</v>
      </c>
      <c r="AB182">
        <v>3</v>
      </c>
      <c r="AC182">
        <v>0</v>
      </c>
      <c r="AD182">
        <v>10</v>
      </c>
      <c r="AE182">
        <v>0</v>
      </c>
      <c r="AF182">
        <v>3</v>
      </c>
      <c r="AG182">
        <v>2</v>
      </c>
      <c r="AH182">
        <v>0</v>
      </c>
      <c r="AI182" t="s">
        <v>282</v>
      </c>
      <c r="AJ182">
        <v>45.672139999999999</v>
      </c>
      <c r="AK182" t="s">
        <v>283</v>
      </c>
      <c r="AL182">
        <v>-89.487119000000007</v>
      </c>
      <c r="AM182">
        <v>100</v>
      </c>
      <c r="AN182">
        <v>4800</v>
      </c>
      <c r="AO182" t="s">
        <v>118</v>
      </c>
      <c r="AP182">
        <v>139</v>
      </c>
      <c r="AQ182">
        <v>85</v>
      </c>
      <c r="AR182">
        <v>1920</v>
      </c>
      <c r="AZ182">
        <v>1200</v>
      </c>
      <c r="BA182">
        <v>1</v>
      </c>
      <c r="BB182" t="str">
        <f t="shared" si="12"/>
        <v xml:space="preserve">N690LS  </v>
      </c>
      <c r="BC182">
        <v>1</v>
      </c>
      <c r="BE182">
        <v>0</v>
      </c>
      <c r="BF182">
        <v>0</v>
      </c>
      <c r="BG182">
        <v>0</v>
      </c>
      <c r="BH182">
        <v>4875</v>
      </c>
      <c r="BI182">
        <v>1</v>
      </c>
      <c r="BJ182">
        <v>1</v>
      </c>
      <c r="BK182">
        <v>1</v>
      </c>
      <c r="BL182">
        <v>0</v>
      </c>
      <c r="BO182">
        <v>0</v>
      </c>
      <c r="BP182">
        <v>0</v>
      </c>
      <c r="BW182" t="str">
        <f>"13:52:00.161"</f>
        <v>13:52:00.161</v>
      </c>
      <c r="CJ182">
        <v>0</v>
      </c>
      <c r="CK182">
        <v>2</v>
      </c>
      <c r="CL182">
        <v>0</v>
      </c>
      <c r="CM182">
        <v>2</v>
      </c>
      <c r="CN182">
        <v>0</v>
      </c>
      <c r="CO182">
        <v>7</v>
      </c>
      <c r="CP182" t="s">
        <v>119</v>
      </c>
      <c r="CQ182">
        <v>197</v>
      </c>
      <c r="CR182">
        <v>2</v>
      </c>
      <c r="CW182">
        <v>2171781</v>
      </c>
      <c r="CY182">
        <v>1</v>
      </c>
      <c r="CZ182">
        <v>0</v>
      </c>
      <c r="DA182">
        <v>1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</row>
    <row r="183" spans="1:113" x14ac:dyDescent="0.3">
      <c r="A183" t="str">
        <f>"09/28/2021 13:52:01.354"</f>
        <v>09/28/2021 13:52:01.354</v>
      </c>
      <c r="C183" t="str">
        <f t="shared" si="11"/>
        <v>FFDFD3C0</v>
      </c>
      <c r="D183" t="s">
        <v>120</v>
      </c>
      <c r="E183">
        <v>12</v>
      </c>
      <c r="F183">
        <v>1012</v>
      </c>
      <c r="G183" t="s">
        <v>114</v>
      </c>
      <c r="J183" t="s">
        <v>121</v>
      </c>
      <c r="K183">
        <v>0</v>
      </c>
      <c r="L183">
        <v>3</v>
      </c>
      <c r="M183">
        <v>0</v>
      </c>
      <c r="N183">
        <v>2</v>
      </c>
      <c r="O183">
        <v>1</v>
      </c>
      <c r="P183">
        <v>0</v>
      </c>
      <c r="Q183">
        <v>0</v>
      </c>
      <c r="S183" t="str">
        <f>"13:52:01.141"</f>
        <v>13:52:01.141</v>
      </c>
      <c r="T183" t="str">
        <f>"13:52:00.741"</f>
        <v>13:52:00.741</v>
      </c>
      <c r="U183" t="str">
        <f t="shared" si="10"/>
        <v>A92BC1</v>
      </c>
      <c r="V183">
        <v>0</v>
      </c>
      <c r="W183">
        <v>0</v>
      </c>
      <c r="X183">
        <v>2</v>
      </c>
      <c r="Z183">
        <v>0</v>
      </c>
      <c r="AA183">
        <v>9</v>
      </c>
      <c r="AB183">
        <v>3</v>
      </c>
      <c r="AC183">
        <v>0</v>
      </c>
      <c r="AD183">
        <v>10</v>
      </c>
      <c r="AE183">
        <v>0</v>
      </c>
      <c r="AF183">
        <v>3</v>
      </c>
      <c r="AG183">
        <v>2</v>
      </c>
      <c r="AH183">
        <v>0</v>
      </c>
      <c r="AI183" t="s">
        <v>284</v>
      </c>
      <c r="AJ183">
        <v>45.672547999999999</v>
      </c>
      <c r="AK183" t="s">
        <v>285</v>
      </c>
      <c r="AL183">
        <v>-89.486196000000007</v>
      </c>
      <c r="AM183">
        <v>100</v>
      </c>
      <c r="AN183">
        <v>4800</v>
      </c>
      <c r="AO183" t="s">
        <v>118</v>
      </c>
      <c r="AP183">
        <v>141</v>
      </c>
      <c r="AQ183">
        <v>84</v>
      </c>
      <c r="AR183">
        <v>1920</v>
      </c>
      <c r="AZ183">
        <v>1200</v>
      </c>
      <c r="BA183">
        <v>1</v>
      </c>
      <c r="BB183" t="str">
        <f t="shared" si="12"/>
        <v xml:space="preserve">N690LS  </v>
      </c>
      <c r="BC183">
        <v>1</v>
      </c>
      <c r="BE183">
        <v>0</v>
      </c>
      <c r="BF183">
        <v>0</v>
      </c>
      <c r="BG183">
        <v>0</v>
      </c>
      <c r="BH183">
        <v>4900</v>
      </c>
      <c r="BI183">
        <v>1</v>
      </c>
      <c r="BJ183">
        <v>1</v>
      </c>
      <c r="BK183">
        <v>1</v>
      </c>
      <c r="BL183">
        <v>0</v>
      </c>
      <c r="BO183">
        <v>0</v>
      </c>
      <c r="BP183">
        <v>0</v>
      </c>
      <c r="BW183" t="str">
        <f>"13:52:01.147"</f>
        <v>13:52:01.147</v>
      </c>
      <c r="CJ183">
        <v>0</v>
      </c>
      <c r="CK183">
        <v>2</v>
      </c>
      <c r="CL183">
        <v>0</v>
      </c>
      <c r="CM183">
        <v>2</v>
      </c>
      <c r="CN183">
        <v>0</v>
      </c>
      <c r="CO183">
        <v>6</v>
      </c>
      <c r="CP183" t="s">
        <v>119</v>
      </c>
      <c r="CQ183">
        <v>209</v>
      </c>
      <c r="CR183">
        <v>3</v>
      </c>
      <c r="CW183">
        <v>7139842</v>
      </c>
      <c r="CY183">
        <v>1</v>
      </c>
      <c r="CZ183">
        <v>0</v>
      </c>
      <c r="DA183">
        <v>0</v>
      </c>
      <c r="DB183">
        <v>0</v>
      </c>
      <c r="DC183">
        <v>0</v>
      </c>
      <c r="DD183">
        <v>0</v>
      </c>
      <c r="DE183">
        <v>0</v>
      </c>
      <c r="DF183">
        <v>0</v>
      </c>
      <c r="DG183">
        <v>0</v>
      </c>
      <c r="DH183">
        <v>0</v>
      </c>
      <c r="DI183">
        <v>0</v>
      </c>
    </row>
    <row r="184" spans="1:113" x14ac:dyDescent="0.3">
      <c r="A184" t="str">
        <f>"09/28/2021 13:52:01.354"</f>
        <v>09/28/2021 13:52:01.354</v>
      </c>
      <c r="C184" t="str">
        <f t="shared" si="11"/>
        <v>FFDFD3C0</v>
      </c>
      <c r="D184" t="s">
        <v>113</v>
      </c>
      <c r="E184">
        <v>7</v>
      </c>
      <c r="H184">
        <v>170</v>
      </c>
      <c r="I184" t="s">
        <v>114</v>
      </c>
      <c r="J184" t="s">
        <v>115</v>
      </c>
      <c r="K184">
        <v>0</v>
      </c>
      <c r="L184">
        <v>3</v>
      </c>
      <c r="M184">
        <v>0</v>
      </c>
      <c r="N184">
        <v>2</v>
      </c>
      <c r="O184">
        <v>1</v>
      </c>
      <c r="P184">
        <v>0</v>
      </c>
      <c r="Q184">
        <v>0</v>
      </c>
      <c r="S184" t="str">
        <f>"13:52:01.141"</f>
        <v>13:52:01.141</v>
      </c>
      <c r="T184" t="str">
        <f>"13:52:00.741"</f>
        <v>13:52:00.741</v>
      </c>
      <c r="U184" t="str">
        <f t="shared" si="10"/>
        <v>A92BC1</v>
      </c>
      <c r="V184">
        <v>0</v>
      </c>
      <c r="W184">
        <v>0</v>
      </c>
      <c r="X184">
        <v>2</v>
      </c>
      <c r="Z184">
        <v>0</v>
      </c>
      <c r="AA184">
        <v>9</v>
      </c>
      <c r="AB184">
        <v>3</v>
      </c>
      <c r="AC184">
        <v>0</v>
      </c>
      <c r="AD184">
        <v>10</v>
      </c>
      <c r="AE184">
        <v>0</v>
      </c>
      <c r="AF184">
        <v>3</v>
      </c>
      <c r="AG184">
        <v>2</v>
      </c>
      <c r="AH184">
        <v>0</v>
      </c>
      <c r="AI184" t="s">
        <v>284</v>
      </c>
      <c r="AJ184">
        <v>45.672547999999999</v>
      </c>
      <c r="AK184" t="s">
        <v>285</v>
      </c>
      <c r="AL184">
        <v>-89.486196000000007</v>
      </c>
      <c r="AM184">
        <v>100</v>
      </c>
      <c r="AN184">
        <v>4800</v>
      </c>
      <c r="AO184" t="s">
        <v>118</v>
      </c>
      <c r="AP184">
        <v>141</v>
      </c>
      <c r="AQ184">
        <v>84</v>
      </c>
      <c r="AR184">
        <v>1920</v>
      </c>
      <c r="AZ184">
        <v>1200</v>
      </c>
      <c r="BA184">
        <v>1</v>
      </c>
      <c r="BB184" t="str">
        <f t="shared" si="12"/>
        <v xml:space="preserve">N690LS  </v>
      </c>
      <c r="BC184">
        <v>1</v>
      </c>
      <c r="BE184">
        <v>0</v>
      </c>
      <c r="BF184">
        <v>0</v>
      </c>
      <c r="BG184">
        <v>0</v>
      </c>
      <c r="BH184">
        <v>4900</v>
      </c>
      <c r="BI184">
        <v>1</v>
      </c>
      <c r="BJ184">
        <v>1</v>
      </c>
      <c r="BK184">
        <v>1</v>
      </c>
      <c r="BL184">
        <v>0</v>
      </c>
      <c r="BO184">
        <v>0</v>
      </c>
      <c r="BP184">
        <v>0</v>
      </c>
      <c r="BW184" t="str">
        <f>"13:52:01.147"</f>
        <v>13:52:01.147</v>
      </c>
      <c r="CJ184">
        <v>0</v>
      </c>
      <c r="CK184">
        <v>2</v>
      </c>
      <c r="CL184">
        <v>0</v>
      </c>
      <c r="CM184">
        <v>2</v>
      </c>
      <c r="CN184">
        <v>0</v>
      </c>
      <c r="CO184">
        <v>6</v>
      </c>
      <c r="CP184" t="s">
        <v>119</v>
      </c>
      <c r="CQ184">
        <v>209</v>
      </c>
      <c r="CR184">
        <v>3</v>
      </c>
      <c r="CW184">
        <v>7139842</v>
      </c>
      <c r="CY184">
        <v>1</v>
      </c>
      <c r="CZ184">
        <v>0</v>
      </c>
      <c r="DA184">
        <v>1</v>
      </c>
      <c r="DB184">
        <v>0</v>
      </c>
      <c r="DC184">
        <v>0</v>
      </c>
      <c r="DD184">
        <v>0</v>
      </c>
      <c r="DE184">
        <v>0</v>
      </c>
      <c r="DF184">
        <v>0</v>
      </c>
      <c r="DG184">
        <v>0</v>
      </c>
      <c r="DH184">
        <v>0</v>
      </c>
      <c r="DI184">
        <v>0</v>
      </c>
    </row>
    <row r="185" spans="1:113" x14ac:dyDescent="0.3">
      <c r="A185" t="str">
        <f>"09/28/2021 13:52:02.352"</f>
        <v>09/28/2021 13:52:02.352</v>
      </c>
      <c r="C185" t="str">
        <f t="shared" si="11"/>
        <v>FFDFD3C0</v>
      </c>
      <c r="D185" t="s">
        <v>120</v>
      </c>
      <c r="E185">
        <v>12</v>
      </c>
      <c r="F185">
        <v>1012</v>
      </c>
      <c r="G185" t="s">
        <v>114</v>
      </c>
      <c r="J185" t="s">
        <v>121</v>
      </c>
      <c r="K185">
        <v>0</v>
      </c>
      <c r="L185">
        <v>3</v>
      </c>
      <c r="M185">
        <v>0</v>
      </c>
      <c r="N185">
        <v>2</v>
      </c>
      <c r="O185">
        <v>1</v>
      </c>
      <c r="P185">
        <v>0</v>
      </c>
      <c r="Q185">
        <v>0</v>
      </c>
      <c r="S185" t="str">
        <f>"13:52:02.117"</f>
        <v>13:52:02.117</v>
      </c>
      <c r="T185" t="str">
        <f>"13:52:01.717"</f>
        <v>13:52:01.717</v>
      </c>
      <c r="U185" t="str">
        <f t="shared" si="10"/>
        <v>A92BC1</v>
      </c>
      <c r="V185">
        <v>0</v>
      </c>
      <c r="W185">
        <v>0</v>
      </c>
      <c r="X185">
        <v>2</v>
      </c>
      <c r="Z185">
        <v>0</v>
      </c>
      <c r="AA185">
        <v>9</v>
      </c>
      <c r="AB185">
        <v>3</v>
      </c>
      <c r="AC185">
        <v>0</v>
      </c>
      <c r="AD185">
        <v>10</v>
      </c>
      <c r="AE185">
        <v>0</v>
      </c>
      <c r="AF185">
        <v>3</v>
      </c>
      <c r="AG185">
        <v>2</v>
      </c>
      <c r="AH185">
        <v>0</v>
      </c>
      <c r="AI185" t="s">
        <v>286</v>
      </c>
      <c r="AJ185">
        <v>45.672913000000001</v>
      </c>
      <c r="AK185" t="s">
        <v>287</v>
      </c>
      <c r="AL185">
        <v>-89.485252000000003</v>
      </c>
      <c r="AM185">
        <v>100</v>
      </c>
      <c r="AN185">
        <v>4900</v>
      </c>
      <c r="AO185" t="s">
        <v>118</v>
      </c>
      <c r="AP185">
        <v>141</v>
      </c>
      <c r="AQ185">
        <v>84</v>
      </c>
      <c r="AR185">
        <v>1920</v>
      </c>
      <c r="AZ185">
        <v>1200</v>
      </c>
      <c r="BA185">
        <v>1</v>
      </c>
      <c r="BB185" t="str">
        <f t="shared" si="12"/>
        <v xml:space="preserve">N690LS  </v>
      </c>
      <c r="BC185">
        <v>1</v>
      </c>
      <c r="BE185">
        <v>0</v>
      </c>
      <c r="BF185">
        <v>0</v>
      </c>
      <c r="BG185">
        <v>0</v>
      </c>
      <c r="BH185">
        <v>4950</v>
      </c>
      <c r="BI185">
        <v>1</v>
      </c>
      <c r="BJ185">
        <v>1</v>
      </c>
      <c r="BK185">
        <v>1</v>
      </c>
      <c r="BL185">
        <v>0</v>
      </c>
      <c r="BO185">
        <v>0</v>
      </c>
      <c r="BP185">
        <v>0</v>
      </c>
      <c r="BW185" t="str">
        <f>"13:52:02.121"</f>
        <v>13:52:02.121</v>
      </c>
      <c r="CJ185">
        <v>0</v>
      </c>
      <c r="CK185">
        <v>2</v>
      </c>
      <c r="CL185">
        <v>0</v>
      </c>
      <c r="CM185">
        <v>2</v>
      </c>
      <c r="CN185">
        <v>0</v>
      </c>
      <c r="CO185">
        <v>5</v>
      </c>
      <c r="CP185" t="s">
        <v>119</v>
      </c>
      <c r="CQ185">
        <v>209</v>
      </c>
      <c r="CR185">
        <v>3</v>
      </c>
      <c r="CW185">
        <v>7140096</v>
      </c>
      <c r="CY185">
        <v>1</v>
      </c>
      <c r="CZ185">
        <v>0</v>
      </c>
      <c r="DA185">
        <v>0</v>
      </c>
      <c r="DB185">
        <v>0</v>
      </c>
      <c r="DC185">
        <v>0</v>
      </c>
      <c r="DD185">
        <v>0</v>
      </c>
      <c r="DE185">
        <v>0</v>
      </c>
      <c r="DF185">
        <v>0</v>
      </c>
      <c r="DG185">
        <v>0</v>
      </c>
      <c r="DH185">
        <v>0</v>
      </c>
      <c r="DI185">
        <v>0</v>
      </c>
    </row>
    <row r="186" spans="1:113" x14ac:dyDescent="0.3">
      <c r="A186" t="str">
        <f>"09/28/2021 13:52:02.352"</f>
        <v>09/28/2021 13:52:02.352</v>
      </c>
      <c r="C186" t="str">
        <f t="shared" si="11"/>
        <v>FFDFD3C0</v>
      </c>
      <c r="D186" t="s">
        <v>113</v>
      </c>
      <c r="E186">
        <v>7</v>
      </c>
      <c r="H186">
        <v>170</v>
      </c>
      <c r="I186" t="s">
        <v>114</v>
      </c>
      <c r="J186" t="s">
        <v>115</v>
      </c>
      <c r="K186">
        <v>0</v>
      </c>
      <c r="L186">
        <v>3</v>
      </c>
      <c r="M186">
        <v>0</v>
      </c>
      <c r="N186">
        <v>2</v>
      </c>
      <c r="O186">
        <v>1</v>
      </c>
      <c r="P186">
        <v>0</v>
      </c>
      <c r="Q186">
        <v>0</v>
      </c>
      <c r="S186" t="str">
        <f>"13:52:02.117"</f>
        <v>13:52:02.117</v>
      </c>
      <c r="T186" t="str">
        <f>"13:52:01.717"</f>
        <v>13:52:01.717</v>
      </c>
      <c r="U186" t="str">
        <f t="shared" si="10"/>
        <v>A92BC1</v>
      </c>
      <c r="V186">
        <v>0</v>
      </c>
      <c r="W186">
        <v>0</v>
      </c>
      <c r="X186">
        <v>2</v>
      </c>
      <c r="Z186">
        <v>0</v>
      </c>
      <c r="AA186">
        <v>9</v>
      </c>
      <c r="AB186">
        <v>3</v>
      </c>
      <c r="AC186">
        <v>0</v>
      </c>
      <c r="AD186">
        <v>10</v>
      </c>
      <c r="AE186">
        <v>0</v>
      </c>
      <c r="AF186">
        <v>3</v>
      </c>
      <c r="AG186">
        <v>2</v>
      </c>
      <c r="AH186">
        <v>0</v>
      </c>
      <c r="AI186" t="s">
        <v>286</v>
      </c>
      <c r="AJ186">
        <v>45.672913000000001</v>
      </c>
      <c r="AK186" t="s">
        <v>287</v>
      </c>
      <c r="AL186">
        <v>-89.485252000000003</v>
      </c>
      <c r="AM186">
        <v>100</v>
      </c>
      <c r="AN186">
        <v>4900</v>
      </c>
      <c r="AO186" t="s">
        <v>118</v>
      </c>
      <c r="AP186">
        <v>141</v>
      </c>
      <c r="AQ186">
        <v>84</v>
      </c>
      <c r="AR186">
        <v>1920</v>
      </c>
      <c r="AZ186">
        <v>1200</v>
      </c>
      <c r="BA186">
        <v>1</v>
      </c>
      <c r="BB186" t="str">
        <f t="shared" si="12"/>
        <v xml:space="preserve">N690LS  </v>
      </c>
      <c r="BC186">
        <v>1</v>
      </c>
      <c r="BE186">
        <v>0</v>
      </c>
      <c r="BF186">
        <v>0</v>
      </c>
      <c r="BG186">
        <v>0</v>
      </c>
      <c r="BH186">
        <v>4950</v>
      </c>
      <c r="BI186">
        <v>1</v>
      </c>
      <c r="BJ186">
        <v>1</v>
      </c>
      <c r="BK186">
        <v>1</v>
      </c>
      <c r="BL186">
        <v>0</v>
      </c>
      <c r="BO186">
        <v>0</v>
      </c>
      <c r="BP186">
        <v>0</v>
      </c>
      <c r="BW186" t="str">
        <f>"13:52:02.121"</f>
        <v>13:52:02.121</v>
      </c>
      <c r="CJ186">
        <v>0</v>
      </c>
      <c r="CK186">
        <v>2</v>
      </c>
      <c r="CL186">
        <v>0</v>
      </c>
      <c r="CM186">
        <v>2</v>
      </c>
      <c r="CN186">
        <v>0</v>
      </c>
      <c r="CO186">
        <v>5</v>
      </c>
      <c r="CP186" t="s">
        <v>119</v>
      </c>
      <c r="CQ186">
        <v>209</v>
      </c>
      <c r="CR186">
        <v>3</v>
      </c>
      <c r="CW186">
        <v>7140096</v>
      </c>
      <c r="CY186">
        <v>1</v>
      </c>
      <c r="CZ186">
        <v>0</v>
      </c>
      <c r="DA186">
        <v>1</v>
      </c>
      <c r="DB186">
        <v>0</v>
      </c>
      <c r="DC186">
        <v>0</v>
      </c>
      <c r="DD186">
        <v>0</v>
      </c>
      <c r="DE186">
        <v>0</v>
      </c>
      <c r="DF186">
        <v>0</v>
      </c>
      <c r="DG186">
        <v>0</v>
      </c>
      <c r="DH186">
        <v>0</v>
      </c>
      <c r="DI186">
        <v>0</v>
      </c>
    </row>
    <row r="187" spans="1:113" x14ac:dyDescent="0.3">
      <c r="A187" t="str">
        <f>"09/28/2021 13:52:03.400"</f>
        <v>09/28/2021 13:52:03.400</v>
      </c>
      <c r="C187" t="str">
        <f t="shared" si="11"/>
        <v>FFDFD3C0</v>
      </c>
      <c r="D187" t="s">
        <v>120</v>
      </c>
      <c r="E187">
        <v>12</v>
      </c>
      <c r="F187">
        <v>1012</v>
      </c>
      <c r="G187" t="s">
        <v>114</v>
      </c>
      <c r="J187" t="s">
        <v>121</v>
      </c>
      <c r="K187">
        <v>0</v>
      </c>
      <c r="L187">
        <v>3</v>
      </c>
      <c r="M187">
        <v>0</v>
      </c>
      <c r="N187">
        <v>2</v>
      </c>
      <c r="O187">
        <v>1</v>
      </c>
      <c r="P187">
        <v>0</v>
      </c>
      <c r="Q187">
        <v>0</v>
      </c>
      <c r="S187" t="str">
        <f>"13:52:03.188"</f>
        <v>13:52:03.188</v>
      </c>
      <c r="T187" t="str">
        <f>"13:52:02.688"</f>
        <v>13:52:02.688</v>
      </c>
      <c r="U187" t="str">
        <f t="shared" si="10"/>
        <v>A92BC1</v>
      </c>
      <c r="V187">
        <v>0</v>
      </c>
      <c r="W187">
        <v>0</v>
      </c>
      <c r="X187">
        <v>2</v>
      </c>
      <c r="Z187">
        <v>0</v>
      </c>
      <c r="AA187">
        <v>9</v>
      </c>
      <c r="AB187">
        <v>3</v>
      </c>
      <c r="AC187">
        <v>0</v>
      </c>
      <c r="AD187">
        <v>10</v>
      </c>
      <c r="AE187">
        <v>0</v>
      </c>
      <c r="AF187">
        <v>3</v>
      </c>
      <c r="AG187">
        <v>2</v>
      </c>
      <c r="AH187">
        <v>0</v>
      </c>
      <c r="AI187" t="s">
        <v>288</v>
      </c>
      <c r="AJ187">
        <v>45.673319999999997</v>
      </c>
      <c r="AK187" t="s">
        <v>289</v>
      </c>
      <c r="AL187">
        <v>-89.484307999999999</v>
      </c>
      <c r="AM187">
        <v>100</v>
      </c>
      <c r="AN187">
        <v>4900</v>
      </c>
      <c r="AO187" t="s">
        <v>118</v>
      </c>
      <c r="AP187">
        <v>142</v>
      </c>
      <c r="AQ187">
        <v>83</v>
      </c>
      <c r="AR187">
        <v>1920</v>
      </c>
      <c r="AZ187">
        <v>1200</v>
      </c>
      <c r="BA187">
        <v>1</v>
      </c>
      <c r="BB187" t="str">
        <f t="shared" si="12"/>
        <v xml:space="preserve">N690LS  </v>
      </c>
      <c r="BC187">
        <v>1</v>
      </c>
      <c r="BE187">
        <v>0</v>
      </c>
      <c r="BF187">
        <v>0</v>
      </c>
      <c r="BG187">
        <v>0</v>
      </c>
      <c r="BH187">
        <v>4975</v>
      </c>
      <c r="BI187">
        <v>1</v>
      </c>
      <c r="BJ187">
        <v>1</v>
      </c>
      <c r="BK187">
        <v>1</v>
      </c>
      <c r="BL187">
        <v>0</v>
      </c>
      <c r="BO187">
        <v>0</v>
      </c>
      <c r="BP187">
        <v>0</v>
      </c>
      <c r="BW187" t="str">
        <f>"13:52:03.192"</f>
        <v>13:52:03.192</v>
      </c>
      <c r="CJ187">
        <v>0</v>
      </c>
      <c r="CK187">
        <v>2</v>
      </c>
      <c r="CL187">
        <v>0</v>
      </c>
      <c r="CM187">
        <v>2</v>
      </c>
      <c r="CN187">
        <v>0</v>
      </c>
      <c r="CO187">
        <v>7</v>
      </c>
      <c r="CP187" t="s">
        <v>119</v>
      </c>
      <c r="CQ187">
        <v>197</v>
      </c>
      <c r="CR187">
        <v>2</v>
      </c>
      <c r="CW187">
        <v>2174488</v>
      </c>
      <c r="CY187">
        <v>1</v>
      </c>
      <c r="CZ187">
        <v>0</v>
      </c>
      <c r="DA187">
        <v>0</v>
      </c>
      <c r="DB187">
        <v>0</v>
      </c>
      <c r="DC187">
        <v>0</v>
      </c>
      <c r="DD187">
        <v>0</v>
      </c>
      <c r="DE187">
        <v>0</v>
      </c>
      <c r="DF187">
        <v>0</v>
      </c>
      <c r="DG187">
        <v>0</v>
      </c>
      <c r="DH187">
        <v>0</v>
      </c>
      <c r="DI187">
        <v>0</v>
      </c>
    </row>
    <row r="188" spans="1:113" x14ac:dyDescent="0.3">
      <c r="A188" t="str">
        <f>"09/28/2021 13:52:03.400"</f>
        <v>09/28/2021 13:52:03.400</v>
      </c>
      <c r="C188" t="str">
        <f t="shared" si="11"/>
        <v>FFDFD3C0</v>
      </c>
      <c r="D188" t="s">
        <v>113</v>
      </c>
      <c r="E188">
        <v>7</v>
      </c>
      <c r="H188">
        <v>170</v>
      </c>
      <c r="I188" t="s">
        <v>114</v>
      </c>
      <c r="J188" t="s">
        <v>115</v>
      </c>
      <c r="K188">
        <v>0</v>
      </c>
      <c r="L188">
        <v>3</v>
      </c>
      <c r="M188">
        <v>0</v>
      </c>
      <c r="N188">
        <v>2</v>
      </c>
      <c r="O188">
        <v>1</v>
      </c>
      <c r="P188">
        <v>0</v>
      </c>
      <c r="Q188">
        <v>0</v>
      </c>
      <c r="S188" t="str">
        <f>"13:52:03.188"</f>
        <v>13:52:03.188</v>
      </c>
      <c r="T188" t="str">
        <f>"13:52:02.688"</f>
        <v>13:52:02.688</v>
      </c>
      <c r="U188" t="str">
        <f t="shared" si="10"/>
        <v>A92BC1</v>
      </c>
      <c r="V188">
        <v>0</v>
      </c>
      <c r="W188">
        <v>0</v>
      </c>
      <c r="X188">
        <v>2</v>
      </c>
      <c r="Z188">
        <v>0</v>
      </c>
      <c r="AA188">
        <v>9</v>
      </c>
      <c r="AB188">
        <v>3</v>
      </c>
      <c r="AC188">
        <v>0</v>
      </c>
      <c r="AD188">
        <v>10</v>
      </c>
      <c r="AE188">
        <v>0</v>
      </c>
      <c r="AF188">
        <v>3</v>
      </c>
      <c r="AG188">
        <v>2</v>
      </c>
      <c r="AH188">
        <v>0</v>
      </c>
      <c r="AI188" t="s">
        <v>288</v>
      </c>
      <c r="AJ188">
        <v>45.673319999999997</v>
      </c>
      <c r="AK188" t="s">
        <v>289</v>
      </c>
      <c r="AL188">
        <v>-89.484307999999999</v>
      </c>
      <c r="AM188">
        <v>100</v>
      </c>
      <c r="AN188">
        <v>4900</v>
      </c>
      <c r="AO188" t="s">
        <v>118</v>
      </c>
      <c r="AP188">
        <v>142</v>
      </c>
      <c r="AQ188">
        <v>83</v>
      </c>
      <c r="AR188">
        <v>1920</v>
      </c>
      <c r="AZ188">
        <v>1200</v>
      </c>
      <c r="BA188">
        <v>1</v>
      </c>
      <c r="BB188" t="str">
        <f t="shared" si="12"/>
        <v xml:space="preserve">N690LS  </v>
      </c>
      <c r="BC188">
        <v>1</v>
      </c>
      <c r="BE188">
        <v>0</v>
      </c>
      <c r="BF188">
        <v>0</v>
      </c>
      <c r="BG188">
        <v>0</v>
      </c>
      <c r="BH188">
        <v>4975</v>
      </c>
      <c r="BI188">
        <v>1</v>
      </c>
      <c r="BJ188">
        <v>1</v>
      </c>
      <c r="BK188">
        <v>1</v>
      </c>
      <c r="BL188">
        <v>0</v>
      </c>
      <c r="BO188">
        <v>0</v>
      </c>
      <c r="BP188">
        <v>0</v>
      </c>
      <c r="BW188" t="str">
        <f>"13:52:03.192"</f>
        <v>13:52:03.192</v>
      </c>
      <c r="CJ188">
        <v>0</v>
      </c>
      <c r="CK188">
        <v>2</v>
      </c>
      <c r="CL188">
        <v>0</v>
      </c>
      <c r="CM188">
        <v>2</v>
      </c>
      <c r="CN188">
        <v>0</v>
      </c>
      <c r="CO188">
        <v>7</v>
      </c>
      <c r="CP188" t="s">
        <v>119</v>
      </c>
      <c r="CQ188">
        <v>197</v>
      </c>
      <c r="CR188">
        <v>2</v>
      </c>
      <c r="CW188">
        <v>2174488</v>
      </c>
      <c r="CY188">
        <v>1</v>
      </c>
      <c r="CZ188">
        <v>0</v>
      </c>
      <c r="DA188">
        <v>1</v>
      </c>
      <c r="DB188">
        <v>0</v>
      </c>
      <c r="DC188">
        <v>0</v>
      </c>
      <c r="DD188">
        <v>0</v>
      </c>
      <c r="DE188">
        <v>0</v>
      </c>
      <c r="DF188">
        <v>0</v>
      </c>
      <c r="DG188">
        <v>0</v>
      </c>
      <c r="DH188">
        <v>0</v>
      </c>
      <c r="DI188">
        <v>0</v>
      </c>
    </row>
    <row r="189" spans="1:113" x14ac:dyDescent="0.3">
      <c r="A189" t="str">
        <f>"09/28/2021 13:52:04.369"</f>
        <v>09/28/2021 13:52:04.369</v>
      </c>
      <c r="C189" t="str">
        <f t="shared" si="11"/>
        <v>FFDFD3C0</v>
      </c>
      <c r="D189" t="s">
        <v>113</v>
      </c>
      <c r="E189">
        <v>7</v>
      </c>
      <c r="H189">
        <v>170</v>
      </c>
      <c r="I189" t="s">
        <v>114</v>
      </c>
      <c r="J189" t="s">
        <v>115</v>
      </c>
      <c r="K189">
        <v>0</v>
      </c>
      <c r="L189">
        <v>3</v>
      </c>
      <c r="M189">
        <v>0</v>
      </c>
      <c r="N189">
        <v>2</v>
      </c>
      <c r="O189">
        <v>1</v>
      </c>
      <c r="P189">
        <v>0</v>
      </c>
      <c r="Q189">
        <v>0</v>
      </c>
      <c r="S189" t="str">
        <f>"13:52:04.156"</f>
        <v>13:52:04.156</v>
      </c>
      <c r="T189" t="str">
        <f>"13:52:03.656"</f>
        <v>13:52:03.656</v>
      </c>
      <c r="U189" t="str">
        <f t="shared" si="10"/>
        <v>A92BC1</v>
      </c>
      <c r="V189">
        <v>0</v>
      </c>
      <c r="W189">
        <v>0</v>
      </c>
      <c r="X189">
        <v>2</v>
      </c>
      <c r="Z189">
        <v>0</v>
      </c>
      <c r="AA189">
        <v>9</v>
      </c>
      <c r="AB189">
        <v>3</v>
      </c>
      <c r="AC189">
        <v>0</v>
      </c>
      <c r="AD189">
        <v>10</v>
      </c>
      <c r="AE189">
        <v>0</v>
      </c>
      <c r="AF189">
        <v>3</v>
      </c>
      <c r="AG189">
        <v>2</v>
      </c>
      <c r="AH189">
        <v>0</v>
      </c>
      <c r="AI189" t="s">
        <v>290</v>
      </c>
      <c r="AJ189">
        <v>45.673684999999999</v>
      </c>
      <c r="AK189" t="s">
        <v>291</v>
      </c>
      <c r="AL189">
        <v>-89.483384999999998</v>
      </c>
      <c r="AM189">
        <v>100</v>
      </c>
      <c r="AN189">
        <v>4900</v>
      </c>
      <c r="AO189" t="s">
        <v>118</v>
      </c>
      <c r="AP189">
        <v>142</v>
      </c>
      <c r="AQ189">
        <v>84</v>
      </c>
      <c r="AR189">
        <v>1920</v>
      </c>
      <c r="AZ189">
        <v>1200</v>
      </c>
      <c r="BA189">
        <v>1</v>
      </c>
      <c r="BB189" t="str">
        <f t="shared" si="12"/>
        <v xml:space="preserve">N690LS  </v>
      </c>
      <c r="BC189">
        <v>1</v>
      </c>
      <c r="BE189">
        <v>0</v>
      </c>
      <c r="BF189">
        <v>0</v>
      </c>
      <c r="BG189">
        <v>0</v>
      </c>
      <c r="BH189">
        <v>5000</v>
      </c>
      <c r="BI189">
        <v>1</v>
      </c>
      <c r="BJ189">
        <v>1</v>
      </c>
      <c r="BK189">
        <v>1</v>
      </c>
      <c r="BL189">
        <v>0</v>
      </c>
      <c r="BO189">
        <v>0</v>
      </c>
      <c r="BP189">
        <v>0</v>
      </c>
      <c r="BW189" t="str">
        <f>"13:52:04.164"</f>
        <v>13:52:04.164</v>
      </c>
      <c r="CJ189">
        <v>0</v>
      </c>
      <c r="CK189">
        <v>2</v>
      </c>
      <c r="CL189">
        <v>0</v>
      </c>
      <c r="CM189">
        <v>2</v>
      </c>
      <c r="CN189">
        <v>0</v>
      </c>
      <c r="CO189">
        <v>6</v>
      </c>
      <c r="CP189" t="s">
        <v>119</v>
      </c>
      <c r="CQ189">
        <v>209</v>
      </c>
      <c r="CR189">
        <v>3</v>
      </c>
      <c r="CW189">
        <v>7140716</v>
      </c>
      <c r="CY189">
        <v>1</v>
      </c>
      <c r="CZ189">
        <v>0</v>
      </c>
      <c r="DA189">
        <v>0</v>
      </c>
      <c r="DB189">
        <v>0</v>
      </c>
      <c r="DC189">
        <v>0</v>
      </c>
      <c r="DD189">
        <v>0</v>
      </c>
      <c r="DE189">
        <v>0</v>
      </c>
      <c r="DF189">
        <v>0</v>
      </c>
      <c r="DG189">
        <v>0</v>
      </c>
      <c r="DH189">
        <v>0</v>
      </c>
      <c r="DI189">
        <v>0</v>
      </c>
    </row>
    <row r="190" spans="1:113" x14ac:dyDescent="0.3">
      <c r="A190" t="str">
        <f>"09/28/2021 13:52:04.416"</f>
        <v>09/28/2021 13:52:04.416</v>
      </c>
      <c r="C190" t="str">
        <f t="shared" si="11"/>
        <v>FFDFD3C0</v>
      </c>
      <c r="D190" t="s">
        <v>120</v>
      </c>
      <c r="E190">
        <v>12</v>
      </c>
      <c r="F190">
        <v>1012</v>
      </c>
      <c r="G190" t="s">
        <v>114</v>
      </c>
      <c r="J190" t="s">
        <v>121</v>
      </c>
      <c r="K190">
        <v>0</v>
      </c>
      <c r="L190">
        <v>3</v>
      </c>
      <c r="M190">
        <v>0</v>
      </c>
      <c r="N190">
        <v>2</v>
      </c>
      <c r="O190">
        <v>1</v>
      </c>
      <c r="P190">
        <v>0</v>
      </c>
      <c r="Q190">
        <v>0</v>
      </c>
      <c r="S190" t="str">
        <f>"13:52:04.156"</f>
        <v>13:52:04.156</v>
      </c>
      <c r="T190" t="str">
        <f>"13:52:03.656"</f>
        <v>13:52:03.656</v>
      </c>
      <c r="U190" t="str">
        <f t="shared" si="10"/>
        <v>A92BC1</v>
      </c>
      <c r="V190">
        <v>0</v>
      </c>
      <c r="W190">
        <v>0</v>
      </c>
      <c r="X190">
        <v>2</v>
      </c>
      <c r="Z190">
        <v>0</v>
      </c>
      <c r="AA190">
        <v>9</v>
      </c>
      <c r="AB190">
        <v>3</v>
      </c>
      <c r="AC190">
        <v>0</v>
      </c>
      <c r="AD190">
        <v>10</v>
      </c>
      <c r="AE190">
        <v>0</v>
      </c>
      <c r="AF190">
        <v>3</v>
      </c>
      <c r="AG190">
        <v>2</v>
      </c>
      <c r="AH190">
        <v>0</v>
      </c>
      <c r="AI190" t="s">
        <v>290</v>
      </c>
      <c r="AJ190">
        <v>45.673684999999999</v>
      </c>
      <c r="AK190" t="s">
        <v>291</v>
      </c>
      <c r="AL190">
        <v>-89.483384999999998</v>
      </c>
      <c r="AM190">
        <v>100</v>
      </c>
      <c r="AN190">
        <v>4900</v>
      </c>
      <c r="AO190" t="s">
        <v>118</v>
      </c>
      <c r="AP190">
        <v>142</v>
      </c>
      <c r="AQ190">
        <v>84</v>
      </c>
      <c r="AR190">
        <v>1920</v>
      </c>
      <c r="AZ190">
        <v>1200</v>
      </c>
      <c r="BA190">
        <v>1</v>
      </c>
      <c r="BB190" t="str">
        <f t="shared" si="12"/>
        <v xml:space="preserve">N690LS  </v>
      </c>
      <c r="BC190">
        <v>1</v>
      </c>
      <c r="BE190">
        <v>0</v>
      </c>
      <c r="BF190">
        <v>0</v>
      </c>
      <c r="BG190">
        <v>0</v>
      </c>
      <c r="BH190">
        <v>5000</v>
      </c>
      <c r="BI190">
        <v>1</v>
      </c>
      <c r="BJ190">
        <v>1</v>
      </c>
      <c r="BK190">
        <v>1</v>
      </c>
      <c r="BL190">
        <v>0</v>
      </c>
      <c r="BO190">
        <v>0</v>
      </c>
      <c r="BP190">
        <v>0</v>
      </c>
      <c r="BW190" t="str">
        <f>"13:52:04.164"</f>
        <v>13:52:04.164</v>
      </c>
      <c r="CJ190">
        <v>0</v>
      </c>
      <c r="CK190">
        <v>2</v>
      </c>
      <c r="CL190">
        <v>0</v>
      </c>
      <c r="CM190">
        <v>2</v>
      </c>
      <c r="CN190">
        <v>0</v>
      </c>
      <c r="CO190">
        <v>6</v>
      </c>
      <c r="CP190" t="s">
        <v>119</v>
      </c>
      <c r="CQ190">
        <v>209</v>
      </c>
      <c r="CR190">
        <v>3</v>
      </c>
      <c r="CW190">
        <v>7140716</v>
      </c>
      <c r="CY190">
        <v>1</v>
      </c>
      <c r="CZ190">
        <v>0</v>
      </c>
      <c r="DA190">
        <v>1</v>
      </c>
      <c r="DB190">
        <v>0</v>
      </c>
      <c r="DC190">
        <v>0</v>
      </c>
      <c r="DD190">
        <v>0</v>
      </c>
      <c r="DE190">
        <v>0</v>
      </c>
      <c r="DF190">
        <v>0</v>
      </c>
      <c r="DG190">
        <v>0</v>
      </c>
      <c r="DH190">
        <v>0</v>
      </c>
      <c r="DI190">
        <v>0</v>
      </c>
    </row>
    <row r="191" spans="1:113" x14ac:dyDescent="0.3">
      <c r="A191" t="str">
        <f>"09/28/2021 13:52:05.307"</f>
        <v>09/28/2021 13:52:05.307</v>
      </c>
      <c r="C191" t="str">
        <f t="shared" si="11"/>
        <v>FFDFD3C0</v>
      </c>
      <c r="D191" t="s">
        <v>120</v>
      </c>
      <c r="E191">
        <v>12</v>
      </c>
      <c r="F191">
        <v>1012</v>
      </c>
      <c r="G191" t="s">
        <v>114</v>
      </c>
      <c r="J191" t="s">
        <v>121</v>
      </c>
      <c r="K191">
        <v>0</v>
      </c>
      <c r="L191">
        <v>3</v>
      </c>
      <c r="M191">
        <v>0</v>
      </c>
      <c r="N191">
        <v>2</v>
      </c>
      <c r="O191">
        <v>1</v>
      </c>
      <c r="P191">
        <v>0</v>
      </c>
      <c r="Q191">
        <v>0</v>
      </c>
      <c r="S191" t="str">
        <f>"13:52:05.102"</f>
        <v>13:52:05.102</v>
      </c>
      <c r="T191" t="str">
        <f>"13:52:04.702"</f>
        <v>13:52:04.702</v>
      </c>
      <c r="U191" t="str">
        <f t="shared" si="10"/>
        <v>A92BC1</v>
      </c>
      <c r="V191">
        <v>0</v>
      </c>
      <c r="W191">
        <v>0</v>
      </c>
      <c r="X191">
        <v>2</v>
      </c>
      <c r="Z191">
        <v>0</v>
      </c>
      <c r="AA191">
        <v>9</v>
      </c>
      <c r="AB191">
        <v>3</v>
      </c>
      <c r="AC191">
        <v>0</v>
      </c>
      <c r="AD191">
        <v>10</v>
      </c>
      <c r="AE191">
        <v>0</v>
      </c>
      <c r="AF191">
        <v>3</v>
      </c>
      <c r="AG191">
        <v>2</v>
      </c>
      <c r="AH191">
        <v>0</v>
      </c>
      <c r="AI191" t="s">
        <v>292</v>
      </c>
      <c r="AJ191">
        <v>45.674028</v>
      </c>
      <c r="AK191" t="s">
        <v>293</v>
      </c>
      <c r="AL191">
        <v>-89.482547999999994</v>
      </c>
      <c r="AM191">
        <v>100</v>
      </c>
      <c r="AN191">
        <v>5000</v>
      </c>
      <c r="AO191" t="s">
        <v>118</v>
      </c>
      <c r="AP191">
        <v>142</v>
      </c>
      <c r="AQ191">
        <v>84</v>
      </c>
      <c r="AR191">
        <v>1984</v>
      </c>
      <c r="AZ191">
        <v>1200</v>
      </c>
      <c r="BA191">
        <v>1</v>
      </c>
      <c r="BB191" t="str">
        <f t="shared" si="12"/>
        <v xml:space="preserve">N690LS  </v>
      </c>
      <c r="BC191">
        <v>1</v>
      </c>
      <c r="BE191">
        <v>0</v>
      </c>
      <c r="BF191">
        <v>0</v>
      </c>
      <c r="BG191">
        <v>0</v>
      </c>
      <c r="BH191">
        <v>5025</v>
      </c>
      <c r="BI191">
        <v>1</v>
      </c>
      <c r="BJ191">
        <v>1</v>
      </c>
      <c r="BK191">
        <v>1</v>
      </c>
      <c r="BL191">
        <v>0</v>
      </c>
      <c r="BO191">
        <v>0</v>
      </c>
      <c r="BP191">
        <v>0</v>
      </c>
      <c r="BW191" t="str">
        <f>"13:52:05.103"</f>
        <v>13:52:05.103</v>
      </c>
      <c r="CJ191">
        <v>0</v>
      </c>
      <c r="CK191">
        <v>2</v>
      </c>
      <c r="CL191">
        <v>0</v>
      </c>
      <c r="CM191">
        <v>2</v>
      </c>
      <c r="CN191">
        <v>0</v>
      </c>
      <c r="CO191">
        <v>5</v>
      </c>
      <c r="CP191" t="s">
        <v>119</v>
      </c>
      <c r="CQ191">
        <v>209</v>
      </c>
      <c r="CR191">
        <v>3</v>
      </c>
      <c r="CW191">
        <v>7141048</v>
      </c>
      <c r="CY191">
        <v>1</v>
      </c>
      <c r="CZ191">
        <v>0</v>
      </c>
      <c r="DA191">
        <v>0</v>
      </c>
      <c r="DB191">
        <v>0</v>
      </c>
      <c r="DC191">
        <v>0</v>
      </c>
      <c r="DD191">
        <v>0</v>
      </c>
      <c r="DE191">
        <v>0</v>
      </c>
      <c r="DF191">
        <v>0</v>
      </c>
      <c r="DG191">
        <v>0</v>
      </c>
      <c r="DH191">
        <v>0</v>
      </c>
      <c r="DI191">
        <v>0</v>
      </c>
    </row>
    <row r="192" spans="1:113" x14ac:dyDescent="0.3">
      <c r="A192" t="str">
        <f>"09/28/2021 13:52:05.353"</f>
        <v>09/28/2021 13:52:05.353</v>
      </c>
      <c r="C192" t="str">
        <f t="shared" si="11"/>
        <v>FFDFD3C0</v>
      </c>
      <c r="D192" t="s">
        <v>113</v>
      </c>
      <c r="E192">
        <v>7</v>
      </c>
      <c r="H192">
        <v>170</v>
      </c>
      <c r="I192" t="s">
        <v>114</v>
      </c>
      <c r="J192" t="s">
        <v>115</v>
      </c>
      <c r="K192">
        <v>0</v>
      </c>
      <c r="L192">
        <v>3</v>
      </c>
      <c r="M192">
        <v>0</v>
      </c>
      <c r="N192">
        <v>2</v>
      </c>
      <c r="O192">
        <v>1</v>
      </c>
      <c r="P192">
        <v>0</v>
      </c>
      <c r="Q192">
        <v>0</v>
      </c>
      <c r="S192" t="str">
        <f>"13:52:05.102"</f>
        <v>13:52:05.102</v>
      </c>
      <c r="T192" t="str">
        <f>"13:52:04.702"</f>
        <v>13:52:04.702</v>
      </c>
      <c r="U192" t="str">
        <f t="shared" si="10"/>
        <v>A92BC1</v>
      </c>
      <c r="V192">
        <v>0</v>
      </c>
      <c r="W192">
        <v>0</v>
      </c>
      <c r="X192">
        <v>2</v>
      </c>
      <c r="Z192">
        <v>0</v>
      </c>
      <c r="AA192">
        <v>9</v>
      </c>
      <c r="AB192">
        <v>3</v>
      </c>
      <c r="AC192">
        <v>0</v>
      </c>
      <c r="AD192">
        <v>10</v>
      </c>
      <c r="AE192">
        <v>0</v>
      </c>
      <c r="AF192">
        <v>3</v>
      </c>
      <c r="AG192">
        <v>2</v>
      </c>
      <c r="AH192">
        <v>0</v>
      </c>
      <c r="AI192" t="s">
        <v>292</v>
      </c>
      <c r="AJ192">
        <v>45.674028</v>
      </c>
      <c r="AK192" t="s">
        <v>293</v>
      </c>
      <c r="AL192">
        <v>-89.482547999999994</v>
      </c>
      <c r="AM192">
        <v>100</v>
      </c>
      <c r="AN192">
        <v>5000</v>
      </c>
      <c r="AO192" t="s">
        <v>118</v>
      </c>
      <c r="AP192">
        <v>142</v>
      </c>
      <c r="AQ192">
        <v>84</v>
      </c>
      <c r="AR192">
        <v>1984</v>
      </c>
      <c r="AZ192">
        <v>1200</v>
      </c>
      <c r="BA192">
        <v>1</v>
      </c>
      <c r="BB192" t="str">
        <f t="shared" si="12"/>
        <v xml:space="preserve">N690LS  </v>
      </c>
      <c r="BC192">
        <v>1</v>
      </c>
      <c r="BE192">
        <v>0</v>
      </c>
      <c r="BF192">
        <v>0</v>
      </c>
      <c r="BG192">
        <v>0</v>
      </c>
      <c r="BH192">
        <v>5025</v>
      </c>
      <c r="BI192">
        <v>1</v>
      </c>
      <c r="BJ192">
        <v>1</v>
      </c>
      <c r="BK192">
        <v>1</v>
      </c>
      <c r="BL192">
        <v>0</v>
      </c>
      <c r="BO192">
        <v>0</v>
      </c>
      <c r="BP192">
        <v>0</v>
      </c>
      <c r="BW192" t="str">
        <f>"13:52:05.103"</f>
        <v>13:52:05.103</v>
      </c>
      <c r="CJ192">
        <v>0</v>
      </c>
      <c r="CK192">
        <v>2</v>
      </c>
      <c r="CL192">
        <v>0</v>
      </c>
      <c r="CM192">
        <v>2</v>
      </c>
      <c r="CN192">
        <v>0</v>
      </c>
      <c r="CO192">
        <v>5</v>
      </c>
      <c r="CP192" t="s">
        <v>119</v>
      </c>
      <c r="CQ192">
        <v>209</v>
      </c>
      <c r="CR192">
        <v>3</v>
      </c>
      <c r="CW192">
        <v>7141048</v>
      </c>
      <c r="CY192">
        <v>1</v>
      </c>
      <c r="CZ192">
        <v>0</v>
      </c>
      <c r="DA192">
        <v>1</v>
      </c>
      <c r="DB192">
        <v>0</v>
      </c>
      <c r="DC192">
        <v>0</v>
      </c>
      <c r="DD192">
        <v>0</v>
      </c>
      <c r="DE192">
        <v>0</v>
      </c>
      <c r="DF192">
        <v>0</v>
      </c>
      <c r="DG192">
        <v>0</v>
      </c>
      <c r="DH192">
        <v>0</v>
      </c>
      <c r="DI192">
        <v>0</v>
      </c>
    </row>
    <row r="193" spans="1:113" x14ac:dyDescent="0.3">
      <c r="A193" t="str">
        <f>"09/28/2021 13:52:06.369"</f>
        <v>09/28/2021 13:52:06.369</v>
      </c>
      <c r="C193" t="str">
        <f t="shared" si="11"/>
        <v>FFDFD3C0</v>
      </c>
      <c r="D193" t="s">
        <v>120</v>
      </c>
      <c r="E193">
        <v>12</v>
      </c>
      <c r="F193">
        <v>1012</v>
      </c>
      <c r="G193" t="s">
        <v>114</v>
      </c>
      <c r="J193" t="s">
        <v>121</v>
      </c>
      <c r="K193">
        <v>0</v>
      </c>
      <c r="L193">
        <v>3</v>
      </c>
      <c r="M193">
        <v>0</v>
      </c>
      <c r="N193">
        <v>2</v>
      </c>
      <c r="O193">
        <v>1</v>
      </c>
      <c r="P193">
        <v>0</v>
      </c>
      <c r="Q193">
        <v>0</v>
      </c>
      <c r="S193" t="str">
        <f>"13:52:06.188"</f>
        <v>13:52:06.188</v>
      </c>
      <c r="T193" t="str">
        <f>"13:52:05.688"</f>
        <v>13:52:05.688</v>
      </c>
      <c r="U193" t="str">
        <f t="shared" si="10"/>
        <v>A92BC1</v>
      </c>
      <c r="V193">
        <v>0</v>
      </c>
      <c r="W193">
        <v>0</v>
      </c>
      <c r="X193">
        <v>2</v>
      </c>
      <c r="Z193">
        <v>0</v>
      </c>
      <c r="AA193">
        <v>9</v>
      </c>
      <c r="AB193">
        <v>3</v>
      </c>
      <c r="AC193">
        <v>0</v>
      </c>
      <c r="AD193">
        <v>10</v>
      </c>
      <c r="AE193">
        <v>0</v>
      </c>
      <c r="AF193">
        <v>3</v>
      </c>
      <c r="AG193">
        <v>2</v>
      </c>
      <c r="AH193">
        <v>0</v>
      </c>
      <c r="AI193" t="s">
        <v>294</v>
      </c>
      <c r="AJ193">
        <v>45.674478999999998</v>
      </c>
      <c r="AK193" t="s">
        <v>295</v>
      </c>
      <c r="AL193">
        <v>-89.481497000000005</v>
      </c>
      <c r="AM193">
        <v>100</v>
      </c>
      <c r="AN193">
        <v>5000</v>
      </c>
      <c r="AO193" t="s">
        <v>118</v>
      </c>
      <c r="AP193">
        <v>142</v>
      </c>
      <c r="AQ193">
        <v>84</v>
      </c>
      <c r="AR193">
        <v>2048</v>
      </c>
      <c r="AZ193">
        <v>1200</v>
      </c>
      <c r="BA193">
        <v>1</v>
      </c>
      <c r="BB193" t="str">
        <f t="shared" si="12"/>
        <v xml:space="preserve">N690LS  </v>
      </c>
      <c r="BC193">
        <v>1</v>
      </c>
      <c r="BE193">
        <v>0</v>
      </c>
      <c r="BF193">
        <v>0</v>
      </c>
      <c r="BG193">
        <v>0</v>
      </c>
      <c r="BH193">
        <v>5075</v>
      </c>
      <c r="BI193">
        <v>1</v>
      </c>
      <c r="BJ193">
        <v>1</v>
      </c>
      <c r="BK193">
        <v>1</v>
      </c>
      <c r="BL193">
        <v>0</v>
      </c>
      <c r="BO193">
        <v>0</v>
      </c>
      <c r="BP193">
        <v>0</v>
      </c>
      <c r="BW193" t="str">
        <f>"13:52:06.195"</f>
        <v>13:52:06.195</v>
      </c>
      <c r="CJ193">
        <v>0</v>
      </c>
      <c r="CK193">
        <v>2</v>
      </c>
      <c r="CL193">
        <v>0</v>
      </c>
      <c r="CM193">
        <v>2</v>
      </c>
      <c r="CN193">
        <v>0</v>
      </c>
      <c r="CO193">
        <v>7</v>
      </c>
      <c r="CP193" t="s">
        <v>119</v>
      </c>
      <c r="CQ193">
        <v>197</v>
      </c>
      <c r="CR193">
        <v>2</v>
      </c>
      <c r="CW193">
        <v>2177361</v>
      </c>
      <c r="CY193">
        <v>1</v>
      </c>
      <c r="CZ193">
        <v>0</v>
      </c>
      <c r="DA193">
        <v>0</v>
      </c>
      <c r="DB193">
        <v>0</v>
      </c>
      <c r="DC193">
        <v>0</v>
      </c>
      <c r="DD193">
        <v>0</v>
      </c>
      <c r="DE193">
        <v>0</v>
      </c>
      <c r="DF193">
        <v>0</v>
      </c>
      <c r="DG193">
        <v>0</v>
      </c>
      <c r="DH193">
        <v>0</v>
      </c>
      <c r="DI193">
        <v>0</v>
      </c>
    </row>
    <row r="194" spans="1:113" x14ac:dyDescent="0.3">
      <c r="A194" t="str">
        <f>"09/28/2021 13:52:06.400"</f>
        <v>09/28/2021 13:52:06.400</v>
      </c>
      <c r="C194" t="str">
        <f t="shared" si="11"/>
        <v>FFDFD3C0</v>
      </c>
      <c r="D194" t="s">
        <v>113</v>
      </c>
      <c r="E194">
        <v>7</v>
      </c>
      <c r="H194">
        <v>170</v>
      </c>
      <c r="I194" t="s">
        <v>114</v>
      </c>
      <c r="J194" t="s">
        <v>115</v>
      </c>
      <c r="K194">
        <v>0</v>
      </c>
      <c r="L194">
        <v>3</v>
      </c>
      <c r="M194">
        <v>0</v>
      </c>
      <c r="N194">
        <v>2</v>
      </c>
      <c r="O194">
        <v>1</v>
      </c>
      <c r="P194">
        <v>0</v>
      </c>
      <c r="Q194">
        <v>0</v>
      </c>
      <c r="S194" t="str">
        <f>"13:52:06.188"</f>
        <v>13:52:06.188</v>
      </c>
      <c r="T194" t="str">
        <f>"13:52:05.688"</f>
        <v>13:52:05.688</v>
      </c>
      <c r="U194" t="str">
        <f t="shared" ref="U194:U257" si="13">"A92BC1"</f>
        <v>A92BC1</v>
      </c>
      <c r="V194">
        <v>0</v>
      </c>
      <c r="W194">
        <v>0</v>
      </c>
      <c r="X194">
        <v>2</v>
      </c>
      <c r="Z194">
        <v>0</v>
      </c>
      <c r="AA194">
        <v>9</v>
      </c>
      <c r="AB194">
        <v>3</v>
      </c>
      <c r="AC194">
        <v>0</v>
      </c>
      <c r="AD194">
        <v>10</v>
      </c>
      <c r="AE194">
        <v>0</v>
      </c>
      <c r="AF194">
        <v>3</v>
      </c>
      <c r="AG194">
        <v>2</v>
      </c>
      <c r="AH194">
        <v>0</v>
      </c>
      <c r="AI194" t="s">
        <v>294</v>
      </c>
      <c r="AJ194">
        <v>45.674478999999998</v>
      </c>
      <c r="AK194" t="s">
        <v>295</v>
      </c>
      <c r="AL194">
        <v>-89.481497000000005</v>
      </c>
      <c r="AM194">
        <v>100</v>
      </c>
      <c r="AN194">
        <v>5000</v>
      </c>
      <c r="AO194" t="s">
        <v>118</v>
      </c>
      <c r="AP194">
        <v>142</v>
      </c>
      <c r="AQ194">
        <v>84</v>
      </c>
      <c r="AR194">
        <v>2048</v>
      </c>
      <c r="AZ194">
        <v>1200</v>
      </c>
      <c r="BA194">
        <v>1</v>
      </c>
      <c r="BB194" t="str">
        <f t="shared" si="12"/>
        <v xml:space="preserve">N690LS  </v>
      </c>
      <c r="BC194">
        <v>1</v>
      </c>
      <c r="BE194">
        <v>0</v>
      </c>
      <c r="BF194">
        <v>0</v>
      </c>
      <c r="BG194">
        <v>0</v>
      </c>
      <c r="BH194">
        <v>5075</v>
      </c>
      <c r="BI194">
        <v>1</v>
      </c>
      <c r="BJ194">
        <v>1</v>
      </c>
      <c r="BK194">
        <v>1</v>
      </c>
      <c r="BL194">
        <v>0</v>
      </c>
      <c r="BO194">
        <v>0</v>
      </c>
      <c r="BP194">
        <v>0</v>
      </c>
      <c r="BW194" t="str">
        <f>"13:52:06.195"</f>
        <v>13:52:06.195</v>
      </c>
      <c r="CJ194">
        <v>0</v>
      </c>
      <c r="CK194">
        <v>2</v>
      </c>
      <c r="CL194">
        <v>0</v>
      </c>
      <c r="CM194">
        <v>2</v>
      </c>
      <c r="CN194">
        <v>0</v>
      </c>
      <c r="CO194">
        <v>7</v>
      </c>
      <c r="CP194" t="s">
        <v>119</v>
      </c>
      <c r="CQ194">
        <v>197</v>
      </c>
      <c r="CR194">
        <v>2</v>
      </c>
      <c r="CW194">
        <v>2177361</v>
      </c>
      <c r="CY194">
        <v>1</v>
      </c>
      <c r="CZ194">
        <v>0</v>
      </c>
      <c r="DA194">
        <v>1</v>
      </c>
      <c r="DB194">
        <v>0</v>
      </c>
      <c r="DC194">
        <v>0</v>
      </c>
      <c r="DD194">
        <v>0</v>
      </c>
      <c r="DE194">
        <v>0</v>
      </c>
      <c r="DF194">
        <v>0</v>
      </c>
      <c r="DG194">
        <v>0</v>
      </c>
      <c r="DH194">
        <v>0</v>
      </c>
      <c r="DI194">
        <v>0</v>
      </c>
    </row>
    <row r="195" spans="1:113" x14ac:dyDescent="0.3">
      <c r="A195" t="str">
        <f>"09/28/2021 13:52:07.603"</f>
        <v>09/28/2021 13:52:07.603</v>
      </c>
      <c r="C195" t="str">
        <f t="shared" si="11"/>
        <v>FFDFD3C0</v>
      </c>
      <c r="D195" t="s">
        <v>120</v>
      </c>
      <c r="E195">
        <v>12</v>
      </c>
      <c r="F195">
        <v>1012</v>
      </c>
      <c r="G195" t="s">
        <v>114</v>
      </c>
      <c r="J195" t="s">
        <v>121</v>
      </c>
      <c r="K195">
        <v>0</v>
      </c>
      <c r="L195">
        <v>3</v>
      </c>
      <c r="M195">
        <v>0</v>
      </c>
      <c r="N195">
        <v>2</v>
      </c>
      <c r="O195">
        <v>1</v>
      </c>
      <c r="P195">
        <v>0</v>
      </c>
      <c r="Q195">
        <v>0</v>
      </c>
      <c r="S195" t="str">
        <f>"13:52:07.242"</f>
        <v>13:52:07.242</v>
      </c>
      <c r="T195" t="str">
        <f>"13:52:06.842"</f>
        <v>13:52:06.842</v>
      </c>
      <c r="U195" t="str">
        <f t="shared" si="13"/>
        <v>A92BC1</v>
      </c>
      <c r="V195">
        <v>0</v>
      </c>
      <c r="W195">
        <v>0</v>
      </c>
      <c r="X195">
        <v>2</v>
      </c>
      <c r="Z195">
        <v>0</v>
      </c>
      <c r="AA195">
        <v>9</v>
      </c>
      <c r="AB195">
        <v>3</v>
      </c>
      <c r="AC195">
        <v>0</v>
      </c>
      <c r="AD195">
        <v>10</v>
      </c>
      <c r="AE195">
        <v>0</v>
      </c>
      <c r="AF195">
        <v>3</v>
      </c>
      <c r="AG195">
        <v>2</v>
      </c>
      <c r="AH195">
        <v>0</v>
      </c>
      <c r="AI195" t="s">
        <v>296</v>
      </c>
      <c r="AJ195">
        <v>45.674908000000002</v>
      </c>
      <c r="AK195" t="s">
        <v>297</v>
      </c>
      <c r="AL195">
        <v>-89.480487999999994</v>
      </c>
      <c r="AM195">
        <v>100</v>
      </c>
      <c r="AN195">
        <v>5000</v>
      </c>
      <c r="AO195" t="s">
        <v>118</v>
      </c>
      <c r="AP195">
        <v>142</v>
      </c>
      <c r="AQ195">
        <v>85</v>
      </c>
      <c r="AR195">
        <v>2112</v>
      </c>
      <c r="AZ195">
        <v>1200</v>
      </c>
      <c r="BA195">
        <v>1</v>
      </c>
      <c r="BB195" t="str">
        <f t="shared" si="12"/>
        <v xml:space="preserve">N690LS  </v>
      </c>
      <c r="BC195">
        <v>1</v>
      </c>
      <c r="BE195">
        <v>0</v>
      </c>
      <c r="BF195">
        <v>0</v>
      </c>
      <c r="BG195">
        <v>0</v>
      </c>
      <c r="BH195">
        <v>5100</v>
      </c>
      <c r="BI195">
        <v>1</v>
      </c>
      <c r="BJ195">
        <v>1</v>
      </c>
      <c r="BK195">
        <v>1</v>
      </c>
      <c r="BL195">
        <v>0</v>
      </c>
      <c r="BO195">
        <v>0</v>
      </c>
      <c r="BP195">
        <v>0</v>
      </c>
      <c r="BW195" t="str">
        <f>"13:52:07.249"</f>
        <v>13:52:07.249</v>
      </c>
      <c r="CJ195">
        <v>0</v>
      </c>
      <c r="CK195">
        <v>2</v>
      </c>
      <c r="CL195">
        <v>0</v>
      </c>
      <c r="CM195">
        <v>2</v>
      </c>
      <c r="CN195">
        <v>0</v>
      </c>
      <c r="CO195">
        <v>5</v>
      </c>
      <c r="CP195" t="s">
        <v>119</v>
      </c>
      <c r="CQ195">
        <v>464</v>
      </c>
      <c r="CR195">
        <v>3</v>
      </c>
      <c r="CW195">
        <v>5344216</v>
      </c>
      <c r="CY195">
        <v>1</v>
      </c>
      <c r="CZ195">
        <v>0</v>
      </c>
      <c r="DA195">
        <v>0</v>
      </c>
      <c r="DB195">
        <v>0</v>
      </c>
      <c r="DC195">
        <v>0</v>
      </c>
      <c r="DD195">
        <v>0</v>
      </c>
      <c r="DE195">
        <v>0</v>
      </c>
      <c r="DF195">
        <v>0</v>
      </c>
      <c r="DG195">
        <v>0</v>
      </c>
      <c r="DH195">
        <v>0</v>
      </c>
      <c r="DI195">
        <v>0</v>
      </c>
    </row>
    <row r="196" spans="1:113" x14ac:dyDescent="0.3">
      <c r="A196" t="str">
        <f>"09/28/2021 13:52:07.650"</f>
        <v>09/28/2021 13:52:07.650</v>
      </c>
      <c r="C196" t="str">
        <f t="shared" si="11"/>
        <v>FFDFD3C0</v>
      </c>
      <c r="D196" t="s">
        <v>113</v>
      </c>
      <c r="E196">
        <v>7</v>
      </c>
      <c r="H196">
        <v>170</v>
      </c>
      <c r="I196" t="s">
        <v>114</v>
      </c>
      <c r="J196" t="s">
        <v>115</v>
      </c>
      <c r="K196">
        <v>0</v>
      </c>
      <c r="L196">
        <v>3</v>
      </c>
      <c r="M196">
        <v>0</v>
      </c>
      <c r="N196">
        <v>2</v>
      </c>
      <c r="O196">
        <v>1</v>
      </c>
      <c r="P196">
        <v>0</v>
      </c>
      <c r="Q196">
        <v>0</v>
      </c>
      <c r="S196" t="str">
        <f>"13:52:07.242"</f>
        <v>13:52:07.242</v>
      </c>
      <c r="T196" t="str">
        <f>"13:52:06.842"</f>
        <v>13:52:06.842</v>
      </c>
      <c r="U196" t="str">
        <f t="shared" si="13"/>
        <v>A92BC1</v>
      </c>
      <c r="V196">
        <v>0</v>
      </c>
      <c r="W196">
        <v>0</v>
      </c>
      <c r="X196">
        <v>2</v>
      </c>
      <c r="Z196">
        <v>0</v>
      </c>
      <c r="AA196">
        <v>9</v>
      </c>
      <c r="AB196">
        <v>3</v>
      </c>
      <c r="AC196">
        <v>0</v>
      </c>
      <c r="AD196">
        <v>10</v>
      </c>
      <c r="AE196">
        <v>0</v>
      </c>
      <c r="AF196">
        <v>3</v>
      </c>
      <c r="AG196">
        <v>2</v>
      </c>
      <c r="AH196">
        <v>0</v>
      </c>
      <c r="AI196" t="s">
        <v>296</v>
      </c>
      <c r="AJ196">
        <v>45.674908000000002</v>
      </c>
      <c r="AK196" t="s">
        <v>297</v>
      </c>
      <c r="AL196">
        <v>-89.480487999999994</v>
      </c>
      <c r="AM196">
        <v>100</v>
      </c>
      <c r="AN196">
        <v>5000</v>
      </c>
      <c r="AO196" t="s">
        <v>118</v>
      </c>
      <c r="AP196">
        <v>142</v>
      </c>
      <c r="AQ196">
        <v>85</v>
      </c>
      <c r="AR196">
        <v>2112</v>
      </c>
      <c r="AZ196">
        <v>1200</v>
      </c>
      <c r="BA196">
        <v>1</v>
      </c>
      <c r="BB196" t="str">
        <f t="shared" si="12"/>
        <v xml:space="preserve">N690LS  </v>
      </c>
      <c r="BC196">
        <v>1</v>
      </c>
      <c r="BE196">
        <v>0</v>
      </c>
      <c r="BF196">
        <v>0</v>
      </c>
      <c r="BG196">
        <v>0</v>
      </c>
      <c r="BH196">
        <v>5100</v>
      </c>
      <c r="BI196">
        <v>1</v>
      </c>
      <c r="BJ196">
        <v>1</v>
      </c>
      <c r="BK196">
        <v>1</v>
      </c>
      <c r="BL196">
        <v>0</v>
      </c>
      <c r="BO196">
        <v>0</v>
      </c>
      <c r="BP196">
        <v>0</v>
      </c>
      <c r="BW196" t="str">
        <f>"13:52:07.249"</f>
        <v>13:52:07.249</v>
      </c>
      <c r="CJ196">
        <v>0</v>
      </c>
      <c r="CK196">
        <v>2</v>
      </c>
      <c r="CL196">
        <v>0</v>
      </c>
      <c r="CM196">
        <v>2</v>
      </c>
      <c r="CN196">
        <v>0</v>
      </c>
      <c r="CO196">
        <v>5</v>
      </c>
      <c r="CP196" t="s">
        <v>119</v>
      </c>
      <c r="CQ196">
        <v>209</v>
      </c>
      <c r="CR196">
        <v>3</v>
      </c>
      <c r="CW196">
        <v>7141676</v>
      </c>
      <c r="CY196">
        <v>1</v>
      </c>
      <c r="CZ196">
        <v>0</v>
      </c>
      <c r="DA196">
        <v>1</v>
      </c>
      <c r="DB196">
        <v>0</v>
      </c>
      <c r="DC196">
        <v>0</v>
      </c>
      <c r="DD196">
        <v>0</v>
      </c>
      <c r="DE196">
        <v>0</v>
      </c>
      <c r="DF196">
        <v>0</v>
      </c>
      <c r="DG196">
        <v>0</v>
      </c>
      <c r="DH196">
        <v>0</v>
      </c>
      <c r="DI196">
        <v>0</v>
      </c>
    </row>
    <row r="197" spans="1:113" x14ac:dyDescent="0.3">
      <c r="A197" t="str">
        <f>"09/28/2021 13:52:08.401"</f>
        <v>09/28/2021 13:52:08.401</v>
      </c>
      <c r="C197" t="str">
        <f t="shared" si="11"/>
        <v>FFDFD3C0</v>
      </c>
      <c r="D197" t="s">
        <v>120</v>
      </c>
      <c r="E197">
        <v>12</v>
      </c>
      <c r="F197">
        <v>1012</v>
      </c>
      <c r="G197" t="s">
        <v>114</v>
      </c>
      <c r="J197" t="s">
        <v>121</v>
      </c>
      <c r="K197">
        <v>0</v>
      </c>
      <c r="L197">
        <v>3</v>
      </c>
      <c r="M197">
        <v>0</v>
      </c>
      <c r="N197">
        <v>2</v>
      </c>
      <c r="O197">
        <v>1</v>
      </c>
      <c r="P197">
        <v>0</v>
      </c>
      <c r="Q197">
        <v>0</v>
      </c>
      <c r="S197" t="str">
        <f>"13:52:08.203"</f>
        <v>13:52:08.203</v>
      </c>
      <c r="T197" t="str">
        <f>"13:52:07.803"</f>
        <v>13:52:07.803</v>
      </c>
      <c r="U197" t="str">
        <f t="shared" si="13"/>
        <v>A92BC1</v>
      </c>
      <c r="V197">
        <v>0</v>
      </c>
      <c r="W197">
        <v>0</v>
      </c>
      <c r="X197">
        <v>2</v>
      </c>
      <c r="Z197">
        <v>0</v>
      </c>
      <c r="AA197">
        <v>9</v>
      </c>
      <c r="AB197">
        <v>3</v>
      </c>
      <c r="AC197">
        <v>0</v>
      </c>
      <c r="AD197">
        <v>10</v>
      </c>
      <c r="AE197">
        <v>0</v>
      </c>
      <c r="AF197">
        <v>3</v>
      </c>
      <c r="AG197">
        <v>2</v>
      </c>
      <c r="AH197">
        <v>0</v>
      </c>
      <c r="AI197" t="s">
        <v>298</v>
      </c>
      <c r="AJ197">
        <v>45.675251000000003</v>
      </c>
      <c r="AK197" t="s">
        <v>299</v>
      </c>
      <c r="AL197">
        <v>-89.47963</v>
      </c>
      <c r="AM197">
        <v>100</v>
      </c>
      <c r="AN197">
        <v>5100</v>
      </c>
      <c r="AO197" t="s">
        <v>118</v>
      </c>
      <c r="AP197">
        <v>141</v>
      </c>
      <c r="AQ197">
        <v>85</v>
      </c>
      <c r="AR197">
        <v>2176</v>
      </c>
      <c r="AZ197">
        <v>1200</v>
      </c>
      <c r="BA197">
        <v>1</v>
      </c>
      <c r="BB197" t="str">
        <f t="shared" si="12"/>
        <v xml:space="preserve">N690LS  </v>
      </c>
      <c r="BC197">
        <v>1</v>
      </c>
      <c r="BE197">
        <v>0</v>
      </c>
      <c r="BF197">
        <v>0</v>
      </c>
      <c r="BG197">
        <v>0</v>
      </c>
      <c r="BH197">
        <v>5150</v>
      </c>
      <c r="BI197">
        <v>1</v>
      </c>
      <c r="BJ197">
        <v>1</v>
      </c>
      <c r="BK197">
        <v>1</v>
      </c>
      <c r="BL197">
        <v>0</v>
      </c>
      <c r="BO197">
        <v>0</v>
      </c>
      <c r="BP197">
        <v>0</v>
      </c>
      <c r="BW197" t="str">
        <f>"13:52:08.209"</f>
        <v>13:52:08.209</v>
      </c>
      <c r="CJ197">
        <v>0</v>
      </c>
      <c r="CK197">
        <v>2</v>
      </c>
      <c r="CL197">
        <v>0</v>
      </c>
      <c r="CM197">
        <v>2</v>
      </c>
      <c r="CN197">
        <v>0</v>
      </c>
      <c r="CO197">
        <v>5</v>
      </c>
      <c r="CP197" t="s">
        <v>119</v>
      </c>
      <c r="CQ197">
        <v>209</v>
      </c>
      <c r="CR197">
        <v>3</v>
      </c>
      <c r="CW197">
        <v>7141973</v>
      </c>
      <c r="CY197">
        <v>1</v>
      </c>
      <c r="CZ197">
        <v>0</v>
      </c>
      <c r="DA197">
        <v>0</v>
      </c>
      <c r="DB197">
        <v>0</v>
      </c>
      <c r="DC197">
        <v>0</v>
      </c>
      <c r="DD197">
        <v>0</v>
      </c>
      <c r="DE197">
        <v>0</v>
      </c>
      <c r="DF197">
        <v>0</v>
      </c>
      <c r="DG197">
        <v>0</v>
      </c>
      <c r="DH197">
        <v>0</v>
      </c>
      <c r="DI197">
        <v>0</v>
      </c>
    </row>
    <row r="198" spans="1:113" x14ac:dyDescent="0.3">
      <c r="A198" t="str">
        <f>"09/28/2021 13:52:08.432"</f>
        <v>09/28/2021 13:52:08.432</v>
      </c>
      <c r="C198" t="str">
        <f t="shared" si="11"/>
        <v>FFDFD3C0</v>
      </c>
      <c r="D198" t="s">
        <v>113</v>
      </c>
      <c r="E198">
        <v>7</v>
      </c>
      <c r="H198">
        <v>170</v>
      </c>
      <c r="I198" t="s">
        <v>114</v>
      </c>
      <c r="J198" t="s">
        <v>115</v>
      </c>
      <c r="K198">
        <v>0</v>
      </c>
      <c r="L198">
        <v>3</v>
      </c>
      <c r="M198">
        <v>0</v>
      </c>
      <c r="N198">
        <v>2</v>
      </c>
      <c r="O198">
        <v>1</v>
      </c>
      <c r="P198">
        <v>0</v>
      </c>
      <c r="Q198">
        <v>0</v>
      </c>
      <c r="S198" t="str">
        <f>"13:52:08.203"</f>
        <v>13:52:08.203</v>
      </c>
      <c r="T198" t="str">
        <f>"13:52:07.803"</f>
        <v>13:52:07.803</v>
      </c>
      <c r="U198" t="str">
        <f t="shared" si="13"/>
        <v>A92BC1</v>
      </c>
      <c r="V198">
        <v>0</v>
      </c>
      <c r="W198">
        <v>0</v>
      </c>
      <c r="X198">
        <v>2</v>
      </c>
      <c r="Z198">
        <v>0</v>
      </c>
      <c r="AA198">
        <v>9</v>
      </c>
      <c r="AB198">
        <v>3</v>
      </c>
      <c r="AC198">
        <v>0</v>
      </c>
      <c r="AD198">
        <v>10</v>
      </c>
      <c r="AE198">
        <v>0</v>
      </c>
      <c r="AF198">
        <v>3</v>
      </c>
      <c r="AG198">
        <v>2</v>
      </c>
      <c r="AH198">
        <v>0</v>
      </c>
      <c r="AI198" t="s">
        <v>298</v>
      </c>
      <c r="AJ198">
        <v>45.675251000000003</v>
      </c>
      <c r="AK198" t="s">
        <v>299</v>
      </c>
      <c r="AL198">
        <v>-89.47963</v>
      </c>
      <c r="AM198">
        <v>100</v>
      </c>
      <c r="AN198">
        <v>5100</v>
      </c>
      <c r="AO198" t="s">
        <v>118</v>
      </c>
      <c r="AP198">
        <v>141</v>
      </c>
      <c r="AQ198">
        <v>85</v>
      </c>
      <c r="AR198">
        <v>2176</v>
      </c>
      <c r="AZ198">
        <v>1200</v>
      </c>
      <c r="BA198">
        <v>1</v>
      </c>
      <c r="BB198" t="str">
        <f t="shared" si="12"/>
        <v xml:space="preserve">N690LS  </v>
      </c>
      <c r="BC198">
        <v>1</v>
      </c>
      <c r="BE198">
        <v>0</v>
      </c>
      <c r="BF198">
        <v>0</v>
      </c>
      <c r="BG198">
        <v>0</v>
      </c>
      <c r="BH198">
        <v>5150</v>
      </c>
      <c r="BI198">
        <v>1</v>
      </c>
      <c r="BJ198">
        <v>1</v>
      </c>
      <c r="BK198">
        <v>1</v>
      </c>
      <c r="BL198">
        <v>0</v>
      </c>
      <c r="BO198">
        <v>0</v>
      </c>
      <c r="BP198">
        <v>0</v>
      </c>
      <c r="BW198" t="str">
        <f>"13:52:08.209"</f>
        <v>13:52:08.209</v>
      </c>
      <c r="CJ198">
        <v>0</v>
      </c>
      <c r="CK198">
        <v>2</v>
      </c>
      <c r="CL198">
        <v>0</v>
      </c>
      <c r="CM198">
        <v>2</v>
      </c>
      <c r="CN198">
        <v>0</v>
      </c>
      <c r="CO198">
        <v>5</v>
      </c>
      <c r="CP198" t="s">
        <v>119</v>
      </c>
      <c r="CQ198">
        <v>209</v>
      </c>
      <c r="CR198">
        <v>3</v>
      </c>
      <c r="CW198">
        <v>7141973</v>
      </c>
      <c r="CY198">
        <v>1</v>
      </c>
      <c r="CZ198">
        <v>0</v>
      </c>
      <c r="DA198">
        <v>1</v>
      </c>
      <c r="DB198">
        <v>0</v>
      </c>
      <c r="DC198">
        <v>0</v>
      </c>
      <c r="DD198">
        <v>0</v>
      </c>
      <c r="DE198">
        <v>0</v>
      </c>
      <c r="DF198">
        <v>0</v>
      </c>
      <c r="DG198">
        <v>0</v>
      </c>
      <c r="DH198">
        <v>0</v>
      </c>
      <c r="DI198">
        <v>0</v>
      </c>
    </row>
    <row r="199" spans="1:113" x14ac:dyDescent="0.3">
      <c r="A199" t="str">
        <f>"09/28/2021 13:52:09.448"</f>
        <v>09/28/2021 13:52:09.448</v>
      </c>
      <c r="C199" t="str">
        <f t="shared" si="11"/>
        <v>FFDFD3C0</v>
      </c>
      <c r="D199" t="s">
        <v>113</v>
      </c>
      <c r="E199">
        <v>7</v>
      </c>
      <c r="H199">
        <v>170</v>
      </c>
      <c r="I199" t="s">
        <v>114</v>
      </c>
      <c r="J199" t="s">
        <v>115</v>
      </c>
      <c r="K199">
        <v>0</v>
      </c>
      <c r="L199">
        <v>3</v>
      </c>
      <c r="M199">
        <v>0</v>
      </c>
      <c r="N199">
        <v>2</v>
      </c>
      <c r="O199">
        <v>1</v>
      </c>
      <c r="P199">
        <v>0</v>
      </c>
      <c r="Q199">
        <v>0</v>
      </c>
      <c r="S199" t="str">
        <f>"13:52:09.250"</f>
        <v>13:52:09.250</v>
      </c>
      <c r="T199" t="str">
        <f>"13:52:08.750"</f>
        <v>13:52:08.750</v>
      </c>
      <c r="U199" t="str">
        <f t="shared" si="13"/>
        <v>A92BC1</v>
      </c>
      <c r="V199">
        <v>0</v>
      </c>
      <c r="W199">
        <v>0</v>
      </c>
      <c r="X199">
        <v>2</v>
      </c>
      <c r="Z199">
        <v>0</v>
      </c>
      <c r="AA199">
        <v>9</v>
      </c>
      <c r="AB199">
        <v>3</v>
      </c>
      <c r="AC199">
        <v>0</v>
      </c>
      <c r="AD199">
        <v>10</v>
      </c>
      <c r="AE199">
        <v>0</v>
      </c>
      <c r="AF199">
        <v>3</v>
      </c>
      <c r="AG199">
        <v>2</v>
      </c>
      <c r="AH199">
        <v>0</v>
      </c>
      <c r="AI199" t="s">
        <v>300</v>
      </c>
      <c r="AJ199">
        <v>45.675702000000001</v>
      </c>
      <c r="AK199" t="s">
        <v>301</v>
      </c>
      <c r="AL199">
        <v>-89.478621000000004</v>
      </c>
      <c r="AM199">
        <v>100</v>
      </c>
      <c r="AN199">
        <v>5100</v>
      </c>
      <c r="AO199" t="s">
        <v>118</v>
      </c>
      <c r="AP199">
        <v>141</v>
      </c>
      <c r="AQ199">
        <v>86</v>
      </c>
      <c r="AR199">
        <v>2240</v>
      </c>
      <c r="AZ199">
        <v>1200</v>
      </c>
      <c r="BA199">
        <v>1</v>
      </c>
      <c r="BB199" t="str">
        <f t="shared" si="12"/>
        <v xml:space="preserve">N690LS  </v>
      </c>
      <c r="BC199">
        <v>1</v>
      </c>
      <c r="BE199">
        <v>0</v>
      </c>
      <c r="BF199">
        <v>0</v>
      </c>
      <c r="BG199">
        <v>0</v>
      </c>
      <c r="BH199">
        <v>5175</v>
      </c>
      <c r="BI199">
        <v>1</v>
      </c>
      <c r="BJ199">
        <v>1</v>
      </c>
      <c r="BK199">
        <v>1</v>
      </c>
      <c r="BL199">
        <v>0</v>
      </c>
      <c r="BO199">
        <v>0</v>
      </c>
      <c r="BP199">
        <v>0</v>
      </c>
      <c r="BW199" t="str">
        <f>"13:52:09.251"</f>
        <v>13:52:09.251</v>
      </c>
      <c r="CJ199">
        <v>0</v>
      </c>
      <c r="CK199">
        <v>2</v>
      </c>
      <c r="CL199">
        <v>0</v>
      </c>
      <c r="CM199">
        <v>2</v>
      </c>
      <c r="CN199">
        <v>0</v>
      </c>
      <c r="CO199">
        <v>7</v>
      </c>
      <c r="CP199" t="s">
        <v>119</v>
      </c>
      <c r="CQ199">
        <v>197</v>
      </c>
      <c r="CR199">
        <v>2</v>
      </c>
      <c r="CW199">
        <v>2180157</v>
      </c>
      <c r="CY199">
        <v>1</v>
      </c>
      <c r="CZ199">
        <v>0</v>
      </c>
      <c r="DA199">
        <v>0</v>
      </c>
      <c r="DB199">
        <v>0</v>
      </c>
      <c r="DC199">
        <v>0</v>
      </c>
      <c r="DD199">
        <v>0</v>
      </c>
      <c r="DE199">
        <v>0</v>
      </c>
      <c r="DF199">
        <v>0</v>
      </c>
      <c r="DG199">
        <v>0</v>
      </c>
      <c r="DH199">
        <v>0</v>
      </c>
      <c r="DI199">
        <v>0</v>
      </c>
    </row>
    <row r="200" spans="1:113" x14ac:dyDescent="0.3">
      <c r="A200" t="str">
        <f>"09/28/2021 13:52:09.448"</f>
        <v>09/28/2021 13:52:09.448</v>
      </c>
      <c r="C200" t="str">
        <f t="shared" si="11"/>
        <v>FFDFD3C0</v>
      </c>
      <c r="D200" t="s">
        <v>120</v>
      </c>
      <c r="E200">
        <v>12</v>
      </c>
      <c r="F200">
        <v>1012</v>
      </c>
      <c r="G200" t="s">
        <v>114</v>
      </c>
      <c r="J200" t="s">
        <v>121</v>
      </c>
      <c r="K200">
        <v>0</v>
      </c>
      <c r="L200">
        <v>3</v>
      </c>
      <c r="M200">
        <v>0</v>
      </c>
      <c r="N200">
        <v>2</v>
      </c>
      <c r="O200">
        <v>1</v>
      </c>
      <c r="P200">
        <v>0</v>
      </c>
      <c r="Q200">
        <v>0</v>
      </c>
      <c r="S200" t="str">
        <f>"13:52:09.250"</f>
        <v>13:52:09.250</v>
      </c>
      <c r="T200" t="str">
        <f>"13:52:08.750"</f>
        <v>13:52:08.750</v>
      </c>
      <c r="U200" t="str">
        <f t="shared" si="13"/>
        <v>A92BC1</v>
      </c>
      <c r="V200">
        <v>0</v>
      </c>
      <c r="W200">
        <v>0</v>
      </c>
      <c r="X200">
        <v>2</v>
      </c>
      <c r="Z200">
        <v>0</v>
      </c>
      <c r="AA200">
        <v>9</v>
      </c>
      <c r="AB200">
        <v>3</v>
      </c>
      <c r="AC200">
        <v>0</v>
      </c>
      <c r="AD200">
        <v>10</v>
      </c>
      <c r="AE200">
        <v>0</v>
      </c>
      <c r="AF200">
        <v>3</v>
      </c>
      <c r="AG200">
        <v>2</v>
      </c>
      <c r="AH200">
        <v>0</v>
      </c>
      <c r="AI200" t="s">
        <v>300</v>
      </c>
      <c r="AJ200">
        <v>45.675702000000001</v>
      </c>
      <c r="AK200" t="s">
        <v>301</v>
      </c>
      <c r="AL200">
        <v>-89.478621000000004</v>
      </c>
      <c r="AM200">
        <v>100</v>
      </c>
      <c r="AN200">
        <v>5100</v>
      </c>
      <c r="AO200" t="s">
        <v>118</v>
      </c>
      <c r="AP200">
        <v>141</v>
      </c>
      <c r="AQ200">
        <v>86</v>
      </c>
      <c r="AR200">
        <v>2240</v>
      </c>
      <c r="AZ200">
        <v>1200</v>
      </c>
      <c r="BA200">
        <v>1</v>
      </c>
      <c r="BB200" t="str">
        <f t="shared" si="12"/>
        <v xml:space="preserve">N690LS  </v>
      </c>
      <c r="BC200">
        <v>1</v>
      </c>
      <c r="BE200">
        <v>0</v>
      </c>
      <c r="BF200">
        <v>0</v>
      </c>
      <c r="BG200">
        <v>0</v>
      </c>
      <c r="BH200">
        <v>5175</v>
      </c>
      <c r="BI200">
        <v>1</v>
      </c>
      <c r="BJ200">
        <v>1</v>
      </c>
      <c r="BK200">
        <v>1</v>
      </c>
      <c r="BL200">
        <v>0</v>
      </c>
      <c r="BO200">
        <v>0</v>
      </c>
      <c r="BP200">
        <v>0</v>
      </c>
      <c r="BW200" t="str">
        <f>"13:52:09.251"</f>
        <v>13:52:09.251</v>
      </c>
      <c r="CJ200">
        <v>0</v>
      </c>
      <c r="CK200">
        <v>2</v>
      </c>
      <c r="CL200">
        <v>0</v>
      </c>
      <c r="CM200">
        <v>2</v>
      </c>
      <c r="CN200">
        <v>0</v>
      </c>
      <c r="CO200">
        <v>7</v>
      </c>
      <c r="CP200" t="s">
        <v>119</v>
      </c>
      <c r="CQ200">
        <v>197</v>
      </c>
      <c r="CR200">
        <v>2</v>
      </c>
      <c r="CW200">
        <v>2180157</v>
      </c>
      <c r="CY200">
        <v>1</v>
      </c>
      <c r="CZ200">
        <v>0</v>
      </c>
      <c r="DA200">
        <v>1</v>
      </c>
      <c r="DB200">
        <v>0</v>
      </c>
      <c r="DC200">
        <v>0</v>
      </c>
      <c r="DD200">
        <v>0</v>
      </c>
      <c r="DE200">
        <v>0</v>
      </c>
      <c r="DF200">
        <v>0</v>
      </c>
      <c r="DG200">
        <v>0</v>
      </c>
      <c r="DH200">
        <v>0</v>
      </c>
      <c r="DI200">
        <v>0</v>
      </c>
    </row>
    <row r="201" spans="1:113" x14ac:dyDescent="0.3">
      <c r="A201" t="str">
        <f>"09/28/2021 13:52:10.370"</f>
        <v>09/28/2021 13:52:10.370</v>
      </c>
      <c r="C201" t="str">
        <f t="shared" si="11"/>
        <v>FFDFD3C0</v>
      </c>
      <c r="D201" t="s">
        <v>120</v>
      </c>
      <c r="E201">
        <v>12</v>
      </c>
      <c r="F201">
        <v>1012</v>
      </c>
      <c r="G201" t="s">
        <v>114</v>
      </c>
      <c r="J201" t="s">
        <v>121</v>
      </c>
      <c r="K201">
        <v>0</v>
      </c>
      <c r="L201">
        <v>3</v>
      </c>
      <c r="M201">
        <v>0</v>
      </c>
      <c r="N201">
        <v>2</v>
      </c>
      <c r="O201">
        <v>1</v>
      </c>
      <c r="P201">
        <v>0</v>
      </c>
      <c r="Q201">
        <v>0</v>
      </c>
      <c r="S201" t="str">
        <f>"13:52:10.164"</f>
        <v>13:52:10.164</v>
      </c>
      <c r="T201" t="str">
        <f>"13:52:09.764"</f>
        <v>13:52:09.764</v>
      </c>
      <c r="U201" t="str">
        <f t="shared" si="13"/>
        <v>A92BC1</v>
      </c>
      <c r="V201">
        <v>0</v>
      </c>
      <c r="W201">
        <v>0</v>
      </c>
      <c r="X201">
        <v>2</v>
      </c>
      <c r="Z201">
        <v>0</v>
      </c>
      <c r="AA201">
        <v>9</v>
      </c>
      <c r="AB201">
        <v>3</v>
      </c>
      <c r="AC201">
        <v>0</v>
      </c>
      <c r="AD201">
        <v>10</v>
      </c>
      <c r="AE201">
        <v>0</v>
      </c>
      <c r="AF201">
        <v>3</v>
      </c>
      <c r="AG201">
        <v>2</v>
      </c>
      <c r="AH201">
        <v>0</v>
      </c>
      <c r="AI201" t="s">
        <v>302</v>
      </c>
      <c r="AJ201">
        <v>45.676067000000003</v>
      </c>
      <c r="AK201" t="s">
        <v>303</v>
      </c>
      <c r="AL201">
        <v>-89.477806000000001</v>
      </c>
      <c r="AM201">
        <v>100</v>
      </c>
      <c r="AN201">
        <v>5100</v>
      </c>
      <c r="AO201" t="s">
        <v>118</v>
      </c>
      <c r="AP201">
        <v>140</v>
      </c>
      <c r="AQ201">
        <v>86</v>
      </c>
      <c r="AR201">
        <v>2304</v>
      </c>
      <c r="AZ201">
        <v>1200</v>
      </c>
      <c r="BA201">
        <v>1</v>
      </c>
      <c r="BB201" t="str">
        <f t="shared" si="12"/>
        <v xml:space="preserve">N690LS  </v>
      </c>
      <c r="BC201">
        <v>1</v>
      </c>
      <c r="BE201">
        <v>0</v>
      </c>
      <c r="BF201">
        <v>0</v>
      </c>
      <c r="BG201">
        <v>0</v>
      </c>
      <c r="BH201">
        <v>5225</v>
      </c>
      <c r="BI201">
        <v>1</v>
      </c>
      <c r="BJ201">
        <v>1</v>
      </c>
      <c r="BK201">
        <v>1</v>
      </c>
      <c r="BL201">
        <v>0</v>
      </c>
      <c r="BO201">
        <v>0</v>
      </c>
      <c r="BP201">
        <v>0</v>
      </c>
      <c r="BW201" t="str">
        <f>"13:52:10.167"</f>
        <v>13:52:10.167</v>
      </c>
      <c r="CJ201">
        <v>0</v>
      </c>
      <c r="CK201">
        <v>2</v>
      </c>
      <c r="CL201">
        <v>0</v>
      </c>
      <c r="CM201">
        <v>2</v>
      </c>
      <c r="CN201">
        <v>0</v>
      </c>
      <c r="CO201">
        <v>5</v>
      </c>
      <c r="CP201" t="s">
        <v>119</v>
      </c>
      <c r="CQ201">
        <v>209</v>
      </c>
      <c r="CR201">
        <v>3</v>
      </c>
      <c r="CW201">
        <v>7142629</v>
      </c>
      <c r="CY201">
        <v>1</v>
      </c>
      <c r="CZ201">
        <v>0</v>
      </c>
      <c r="DA201">
        <v>0</v>
      </c>
      <c r="DB201">
        <v>0</v>
      </c>
      <c r="DC201">
        <v>0</v>
      </c>
      <c r="DD201">
        <v>0</v>
      </c>
      <c r="DE201">
        <v>0</v>
      </c>
      <c r="DF201">
        <v>0</v>
      </c>
      <c r="DG201">
        <v>0</v>
      </c>
      <c r="DH201">
        <v>0</v>
      </c>
      <c r="DI201">
        <v>0</v>
      </c>
    </row>
    <row r="202" spans="1:113" x14ac:dyDescent="0.3">
      <c r="A202" t="str">
        <f>"09/28/2021 13:52:10.401"</f>
        <v>09/28/2021 13:52:10.401</v>
      </c>
      <c r="C202" t="str">
        <f t="shared" si="11"/>
        <v>FFDFD3C0</v>
      </c>
      <c r="D202" t="s">
        <v>113</v>
      </c>
      <c r="E202">
        <v>7</v>
      </c>
      <c r="H202">
        <v>170</v>
      </c>
      <c r="I202" t="s">
        <v>114</v>
      </c>
      <c r="J202" t="s">
        <v>115</v>
      </c>
      <c r="K202">
        <v>0</v>
      </c>
      <c r="L202">
        <v>3</v>
      </c>
      <c r="M202">
        <v>0</v>
      </c>
      <c r="N202">
        <v>2</v>
      </c>
      <c r="O202">
        <v>1</v>
      </c>
      <c r="P202">
        <v>0</v>
      </c>
      <c r="Q202">
        <v>0</v>
      </c>
      <c r="S202" t="str">
        <f>"13:52:10.164"</f>
        <v>13:52:10.164</v>
      </c>
      <c r="T202" t="str">
        <f>"13:52:09.764"</f>
        <v>13:52:09.764</v>
      </c>
      <c r="U202" t="str">
        <f t="shared" si="13"/>
        <v>A92BC1</v>
      </c>
      <c r="V202">
        <v>0</v>
      </c>
      <c r="W202">
        <v>0</v>
      </c>
      <c r="X202">
        <v>2</v>
      </c>
      <c r="Z202">
        <v>0</v>
      </c>
      <c r="AA202">
        <v>9</v>
      </c>
      <c r="AB202">
        <v>3</v>
      </c>
      <c r="AC202">
        <v>0</v>
      </c>
      <c r="AD202">
        <v>10</v>
      </c>
      <c r="AE202">
        <v>0</v>
      </c>
      <c r="AF202">
        <v>3</v>
      </c>
      <c r="AG202">
        <v>2</v>
      </c>
      <c r="AH202">
        <v>0</v>
      </c>
      <c r="AI202" t="s">
        <v>302</v>
      </c>
      <c r="AJ202">
        <v>45.676067000000003</v>
      </c>
      <c r="AK202" t="s">
        <v>303</v>
      </c>
      <c r="AL202">
        <v>-89.477806000000001</v>
      </c>
      <c r="AM202">
        <v>100</v>
      </c>
      <c r="AN202">
        <v>5100</v>
      </c>
      <c r="AO202" t="s">
        <v>118</v>
      </c>
      <c r="AP202">
        <v>140</v>
      </c>
      <c r="AQ202">
        <v>86</v>
      </c>
      <c r="AR202">
        <v>2304</v>
      </c>
      <c r="AZ202">
        <v>1200</v>
      </c>
      <c r="BA202">
        <v>1</v>
      </c>
      <c r="BB202" t="str">
        <f t="shared" si="12"/>
        <v xml:space="preserve">N690LS  </v>
      </c>
      <c r="BC202">
        <v>1</v>
      </c>
      <c r="BE202">
        <v>0</v>
      </c>
      <c r="BF202">
        <v>0</v>
      </c>
      <c r="BG202">
        <v>0</v>
      </c>
      <c r="BH202">
        <v>5225</v>
      </c>
      <c r="BI202">
        <v>1</v>
      </c>
      <c r="BJ202">
        <v>1</v>
      </c>
      <c r="BK202">
        <v>1</v>
      </c>
      <c r="BL202">
        <v>0</v>
      </c>
      <c r="BO202">
        <v>0</v>
      </c>
      <c r="BP202">
        <v>0</v>
      </c>
      <c r="BW202" t="str">
        <f>"13:52:10.167"</f>
        <v>13:52:10.167</v>
      </c>
      <c r="CJ202">
        <v>0</v>
      </c>
      <c r="CK202">
        <v>2</v>
      </c>
      <c r="CL202">
        <v>0</v>
      </c>
      <c r="CM202">
        <v>2</v>
      </c>
      <c r="CN202">
        <v>0</v>
      </c>
      <c r="CO202">
        <v>5</v>
      </c>
      <c r="CP202" t="s">
        <v>119</v>
      </c>
      <c r="CQ202">
        <v>209</v>
      </c>
      <c r="CR202">
        <v>3</v>
      </c>
      <c r="CW202">
        <v>7142629</v>
      </c>
      <c r="CY202">
        <v>1</v>
      </c>
      <c r="CZ202">
        <v>0</v>
      </c>
      <c r="DA202">
        <v>1</v>
      </c>
      <c r="DB202">
        <v>0</v>
      </c>
      <c r="DC202">
        <v>0</v>
      </c>
      <c r="DD202">
        <v>0</v>
      </c>
      <c r="DE202">
        <v>0</v>
      </c>
      <c r="DF202">
        <v>0</v>
      </c>
      <c r="DG202">
        <v>0</v>
      </c>
      <c r="DH202">
        <v>0</v>
      </c>
      <c r="DI202">
        <v>0</v>
      </c>
    </row>
    <row r="203" spans="1:113" x14ac:dyDescent="0.3">
      <c r="A203" t="str">
        <f>"09/28/2021 13:52:11.354"</f>
        <v>09/28/2021 13:52:11.354</v>
      </c>
      <c r="C203" t="str">
        <f t="shared" si="11"/>
        <v>FFDFD3C0</v>
      </c>
      <c r="D203" t="s">
        <v>120</v>
      </c>
      <c r="E203">
        <v>12</v>
      </c>
      <c r="F203">
        <v>1012</v>
      </c>
      <c r="G203" t="s">
        <v>114</v>
      </c>
      <c r="J203" t="s">
        <v>121</v>
      </c>
      <c r="K203">
        <v>0</v>
      </c>
      <c r="L203">
        <v>3</v>
      </c>
      <c r="M203">
        <v>0</v>
      </c>
      <c r="N203">
        <v>2</v>
      </c>
      <c r="O203">
        <v>1</v>
      </c>
      <c r="P203">
        <v>0</v>
      </c>
      <c r="Q203">
        <v>0</v>
      </c>
      <c r="S203" t="str">
        <f>"13:52:11.125"</f>
        <v>13:52:11.125</v>
      </c>
      <c r="T203" t="str">
        <f>"13:52:10.625"</f>
        <v>13:52:10.625</v>
      </c>
      <c r="U203" t="str">
        <f t="shared" si="13"/>
        <v>A92BC1</v>
      </c>
      <c r="V203">
        <v>0</v>
      </c>
      <c r="W203">
        <v>0</v>
      </c>
      <c r="X203">
        <v>2</v>
      </c>
      <c r="Z203">
        <v>0</v>
      </c>
      <c r="AA203">
        <v>9</v>
      </c>
      <c r="AB203">
        <v>3</v>
      </c>
      <c r="AC203">
        <v>0</v>
      </c>
      <c r="AD203">
        <v>10</v>
      </c>
      <c r="AE203">
        <v>0</v>
      </c>
      <c r="AF203">
        <v>3</v>
      </c>
      <c r="AG203">
        <v>2</v>
      </c>
      <c r="AH203">
        <v>0</v>
      </c>
      <c r="AI203" t="s">
        <v>304</v>
      </c>
      <c r="AJ203">
        <v>45.676475000000003</v>
      </c>
      <c r="AK203" t="s">
        <v>305</v>
      </c>
      <c r="AL203">
        <v>-89.476883000000001</v>
      </c>
      <c r="AM203">
        <v>100</v>
      </c>
      <c r="AN203">
        <v>5200</v>
      </c>
      <c r="AO203" t="s">
        <v>118</v>
      </c>
      <c r="AP203">
        <v>140</v>
      </c>
      <c r="AQ203">
        <v>86</v>
      </c>
      <c r="AR203">
        <v>2304</v>
      </c>
      <c r="AZ203">
        <v>1200</v>
      </c>
      <c r="BA203">
        <v>1</v>
      </c>
      <c r="BB203" t="str">
        <f t="shared" si="12"/>
        <v xml:space="preserve">N690LS  </v>
      </c>
      <c r="BC203">
        <v>1</v>
      </c>
      <c r="BE203">
        <v>0</v>
      </c>
      <c r="BF203">
        <v>0</v>
      </c>
      <c r="BG203">
        <v>0</v>
      </c>
      <c r="BH203">
        <v>5250</v>
      </c>
      <c r="BI203">
        <v>1</v>
      </c>
      <c r="BJ203">
        <v>1</v>
      </c>
      <c r="BK203">
        <v>1</v>
      </c>
      <c r="BL203">
        <v>0</v>
      </c>
      <c r="BO203">
        <v>0</v>
      </c>
      <c r="BP203">
        <v>0</v>
      </c>
      <c r="BW203" t="str">
        <f>"13:52:11.132"</f>
        <v>13:52:11.132</v>
      </c>
      <c r="CJ203">
        <v>0</v>
      </c>
      <c r="CK203">
        <v>2</v>
      </c>
      <c r="CL203">
        <v>0</v>
      </c>
      <c r="CM203">
        <v>2</v>
      </c>
      <c r="CN203">
        <v>0</v>
      </c>
      <c r="CO203">
        <v>5</v>
      </c>
      <c r="CP203" t="s">
        <v>119</v>
      </c>
      <c r="CQ203">
        <v>464</v>
      </c>
      <c r="CR203">
        <v>3</v>
      </c>
      <c r="CW203">
        <v>5347670</v>
      </c>
      <c r="CY203">
        <v>1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  <c r="DG203">
        <v>0</v>
      </c>
      <c r="DH203">
        <v>0</v>
      </c>
      <c r="DI203">
        <v>0</v>
      </c>
    </row>
    <row r="204" spans="1:113" x14ac:dyDescent="0.3">
      <c r="A204" t="str">
        <f>"09/28/2021 13:52:11.354"</f>
        <v>09/28/2021 13:52:11.354</v>
      </c>
      <c r="C204" t="str">
        <f t="shared" si="11"/>
        <v>FFDFD3C0</v>
      </c>
      <c r="D204" t="s">
        <v>113</v>
      </c>
      <c r="E204">
        <v>7</v>
      </c>
      <c r="H204">
        <v>170</v>
      </c>
      <c r="I204" t="s">
        <v>114</v>
      </c>
      <c r="J204" t="s">
        <v>115</v>
      </c>
      <c r="K204">
        <v>0</v>
      </c>
      <c r="L204">
        <v>3</v>
      </c>
      <c r="M204">
        <v>0</v>
      </c>
      <c r="N204">
        <v>2</v>
      </c>
      <c r="O204">
        <v>1</v>
      </c>
      <c r="P204">
        <v>0</v>
      </c>
      <c r="Q204">
        <v>0</v>
      </c>
      <c r="S204" t="str">
        <f>"13:52:11.125"</f>
        <v>13:52:11.125</v>
      </c>
      <c r="T204" t="str">
        <f>"13:52:10.625"</f>
        <v>13:52:10.625</v>
      </c>
      <c r="U204" t="str">
        <f t="shared" si="13"/>
        <v>A92BC1</v>
      </c>
      <c r="V204">
        <v>0</v>
      </c>
      <c r="W204">
        <v>0</v>
      </c>
      <c r="X204">
        <v>2</v>
      </c>
      <c r="Z204">
        <v>0</v>
      </c>
      <c r="AA204">
        <v>9</v>
      </c>
      <c r="AB204">
        <v>3</v>
      </c>
      <c r="AC204">
        <v>0</v>
      </c>
      <c r="AD204">
        <v>10</v>
      </c>
      <c r="AE204">
        <v>0</v>
      </c>
      <c r="AF204">
        <v>3</v>
      </c>
      <c r="AG204">
        <v>2</v>
      </c>
      <c r="AH204">
        <v>0</v>
      </c>
      <c r="AI204" t="s">
        <v>304</v>
      </c>
      <c r="AJ204">
        <v>45.676475000000003</v>
      </c>
      <c r="AK204" t="s">
        <v>305</v>
      </c>
      <c r="AL204">
        <v>-89.476883000000001</v>
      </c>
      <c r="AM204">
        <v>100</v>
      </c>
      <c r="AN204">
        <v>5200</v>
      </c>
      <c r="AO204" t="s">
        <v>118</v>
      </c>
      <c r="AP204">
        <v>140</v>
      </c>
      <c r="AQ204">
        <v>86</v>
      </c>
      <c r="AR204">
        <v>2304</v>
      </c>
      <c r="AZ204">
        <v>1200</v>
      </c>
      <c r="BA204">
        <v>1</v>
      </c>
      <c r="BB204" t="str">
        <f t="shared" si="12"/>
        <v xml:space="preserve">N690LS  </v>
      </c>
      <c r="BC204">
        <v>1</v>
      </c>
      <c r="BE204">
        <v>0</v>
      </c>
      <c r="BF204">
        <v>0</v>
      </c>
      <c r="BG204">
        <v>0</v>
      </c>
      <c r="BH204">
        <v>5250</v>
      </c>
      <c r="BI204">
        <v>1</v>
      </c>
      <c r="BJ204">
        <v>1</v>
      </c>
      <c r="BK204">
        <v>1</v>
      </c>
      <c r="BL204">
        <v>0</v>
      </c>
      <c r="BO204">
        <v>0</v>
      </c>
      <c r="BP204">
        <v>0</v>
      </c>
      <c r="BW204" t="str">
        <f>"13:52:11.132"</f>
        <v>13:52:11.132</v>
      </c>
      <c r="CJ204">
        <v>0</v>
      </c>
      <c r="CK204">
        <v>2</v>
      </c>
      <c r="CL204">
        <v>0</v>
      </c>
      <c r="CM204">
        <v>2</v>
      </c>
      <c r="CN204">
        <v>0</v>
      </c>
      <c r="CO204">
        <v>5</v>
      </c>
      <c r="CP204" t="s">
        <v>119</v>
      </c>
      <c r="CQ204">
        <v>209</v>
      </c>
      <c r="CR204">
        <v>3</v>
      </c>
      <c r="CW204">
        <v>7142888</v>
      </c>
      <c r="CY204">
        <v>1</v>
      </c>
      <c r="CZ204">
        <v>0</v>
      </c>
      <c r="DA204">
        <v>1</v>
      </c>
      <c r="DB204">
        <v>0</v>
      </c>
      <c r="DC204">
        <v>0</v>
      </c>
      <c r="DD204">
        <v>0</v>
      </c>
      <c r="DE204">
        <v>0</v>
      </c>
      <c r="DF204">
        <v>0</v>
      </c>
      <c r="DG204">
        <v>0</v>
      </c>
      <c r="DH204">
        <v>0</v>
      </c>
      <c r="DI204">
        <v>0</v>
      </c>
    </row>
    <row r="205" spans="1:113" x14ac:dyDescent="0.3">
      <c r="A205" t="str">
        <f>"09/28/2021 13:52:12.431"</f>
        <v>09/28/2021 13:52:12.431</v>
      </c>
      <c r="C205" t="str">
        <f t="shared" si="11"/>
        <v>FFDFD3C0</v>
      </c>
      <c r="D205" t="s">
        <v>113</v>
      </c>
      <c r="E205">
        <v>7</v>
      </c>
      <c r="H205">
        <v>170</v>
      </c>
      <c r="I205" t="s">
        <v>114</v>
      </c>
      <c r="J205" t="s">
        <v>115</v>
      </c>
      <c r="K205">
        <v>0</v>
      </c>
      <c r="L205">
        <v>3</v>
      </c>
      <c r="M205">
        <v>0</v>
      </c>
      <c r="N205">
        <v>2</v>
      </c>
      <c r="O205">
        <v>1</v>
      </c>
      <c r="P205">
        <v>0</v>
      </c>
      <c r="Q205">
        <v>0</v>
      </c>
      <c r="S205" t="str">
        <f>"13:52:12.188"</f>
        <v>13:52:12.188</v>
      </c>
      <c r="T205" t="str">
        <f>"13:52:11.688"</f>
        <v>13:52:11.688</v>
      </c>
      <c r="U205" t="str">
        <f t="shared" si="13"/>
        <v>A92BC1</v>
      </c>
      <c r="V205">
        <v>0</v>
      </c>
      <c r="W205">
        <v>0</v>
      </c>
      <c r="X205">
        <v>2</v>
      </c>
      <c r="Z205">
        <v>0</v>
      </c>
      <c r="AA205">
        <v>9</v>
      </c>
      <c r="AB205">
        <v>3</v>
      </c>
      <c r="AC205">
        <v>0</v>
      </c>
      <c r="AD205">
        <v>10</v>
      </c>
      <c r="AE205">
        <v>0</v>
      </c>
      <c r="AF205">
        <v>3</v>
      </c>
      <c r="AG205">
        <v>2</v>
      </c>
      <c r="AH205">
        <v>0</v>
      </c>
      <c r="AI205" t="s">
        <v>306</v>
      </c>
      <c r="AJ205">
        <v>45.676839000000001</v>
      </c>
      <c r="AK205" t="s">
        <v>307</v>
      </c>
      <c r="AL205">
        <v>-89.475938999999997</v>
      </c>
      <c r="AM205">
        <v>100</v>
      </c>
      <c r="AN205">
        <v>5200</v>
      </c>
      <c r="AO205" t="s">
        <v>118</v>
      </c>
      <c r="AP205">
        <v>139</v>
      </c>
      <c r="AQ205">
        <v>86</v>
      </c>
      <c r="AR205">
        <v>2368</v>
      </c>
      <c r="AZ205">
        <v>1200</v>
      </c>
      <c r="BA205">
        <v>1</v>
      </c>
      <c r="BB205" t="str">
        <f t="shared" si="12"/>
        <v xml:space="preserve">N690LS  </v>
      </c>
      <c r="BC205">
        <v>1</v>
      </c>
      <c r="BE205">
        <v>0</v>
      </c>
      <c r="BF205">
        <v>0</v>
      </c>
      <c r="BG205">
        <v>0</v>
      </c>
      <c r="BH205">
        <v>5300</v>
      </c>
      <c r="BI205">
        <v>1</v>
      </c>
      <c r="BJ205">
        <v>1</v>
      </c>
      <c r="BK205">
        <v>1</v>
      </c>
      <c r="BL205">
        <v>0</v>
      </c>
      <c r="BO205">
        <v>0</v>
      </c>
      <c r="BP205">
        <v>0</v>
      </c>
      <c r="BW205" t="str">
        <f>"13:52:12.195"</f>
        <v>13:52:12.195</v>
      </c>
      <c r="CJ205">
        <v>0</v>
      </c>
      <c r="CK205">
        <v>2</v>
      </c>
      <c r="CL205">
        <v>0</v>
      </c>
      <c r="CM205">
        <v>2</v>
      </c>
      <c r="CN205">
        <v>0</v>
      </c>
      <c r="CO205">
        <v>7</v>
      </c>
      <c r="CP205" t="s">
        <v>119</v>
      </c>
      <c r="CQ205">
        <v>197</v>
      </c>
      <c r="CR205">
        <v>1</v>
      </c>
      <c r="CW205">
        <v>7069819</v>
      </c>
      <c r="CY205">
        <v>1</v>
      </c>
      <c r="CZ205">
        <v>0</v>
      </c>
      <c r="DA205">
        <v>0</v>
      </c>
      <c r="DB205">
        <v>0</v>
      </c>
      <c r="DC205">
        <v>0</v>
      </c>
      <c r="DD205">
        <v>0</v>
      </c>
      <c r="DE205">
        <v>0</v>
      </c>
      <c r="DF205">
        <v>0</v>
      </c>
      <c r="DG205">
        <v>0</v>
      </c>
      <c r="DH205">
        <v>0</v>
      </c>
      <c r="DI205">
        <v>0</v>
      </c>
    </row>
    <row r="206" spans="1:113" x14ac:dyDescent="0.3">
      <c r="A206" t="str">
        <f>"09/28/2021 13:52:12.431"</f>
        <v>09/28/2021 13:52:12.431</v>
      </c>
      <c r="C206" t="str">
        <f t="shared" si="11"/>
        <v>FFDFD3C0</v>
      </c>
      <c r="D206" t="s">
        <v>120</v>
      </c>
      <c r="E206">
        <v>12</v>
      </c>
      <c r="F206">
        <v>1012</v>
      </c>
      <c r="G206" t="s">
        <v>114</v>
      </c>
      <c r="J206" t="s">
        <v>121</v>
      </c>
      <c r="K206">
        <v>0</v>
      </c>
      <c r="L206">
        <v>3</v>
      </c>
      <c r="M206">
        <v>0</v>
      </c>
      <c r="N206">
        <v>2</v>
      </c>
      <c r="O206">
        <v>1</v>
      </c>
      <c r="P206">
        <v>0</v>
      </c>
      <c r="Q206">
        <v>0</v>
      </c>
      <c r="S206" t="str">
        <f>"13:52:12.188"</f>
        <v>13:52:12.188</v>
      </c>
      <c r="T206" t="str">
        <f>"13:52:11.688"</f>
        <v>13:52:11.688</v>
      </c>
      <c r="U206" t="str">
        <f t="shared" si="13"/>
        <v>A92BC1</v>
      </c>
      <c r="V206">
        <v>0</v>
      </c>
      <c r="W206">
        <v>0</v>
      </c>
      <c r="X206">
        <v>2</v>
      </c>
      <c r="Z206">
        <v>0</v>
      </c>
      <c r="AA206">
        <v>9</v>
      </c>
      <c r="AB206">
        <v>3</v>
      </c>
      <c r="AC206">
        <v>0</v>
      </c>
      <c r="AD206">
        <v>10</v>
      </c>
      <c r="AE206">
        <v>0</v>
      </c>
      <c r="AF206">
        <v>3</v>
      </c>
      <c r="AG206">
        <v>2</v>
      </c>
      <c r="AH206">
        <v>0</v>
      </c>
      <c r="AI206" t="s">
        <v>306</v>
      </c>
      <c r="AJ206">
        <v>45.676839000000001</v>
      </c>
      <c r="AK206" t="s">
        <v>307</v>
      </c>
      <c r="AL206">
        <v>-89.475938999999997</v>
      </c>
      <c r="AM206">
        <v>100</v>
      </c>
      <c r="AN206">
        <v>5200</v>
      </c>
      <c r="AO206" t="s">
        <v>118</v>
      </c>
      <c r="AP206">
        <v>139</v>
      </c>
      <c r="AQ206">
        <v>86</v>
      </c>
      <c r="AR206">
        <v>2368</v>
      </c>
      <c r="AZ206">
        <v>1200</v>
      </c>
      <c r="BA206">
        <v>1</v>
      </c>
      <c r="BB206" t="str">
        <f t="shared" si="12"/>
        <v xml:space="preserve">N690LS  </v>
      </c>
      <c r="BC206">
        <v>1</v>
      </c>
      <c r="BE206">
        <v>0</v>
      </c>
      <c r="BF206">
        <v>0</v>
      </c>
      <c r="BG206">
        <v>0</v>
      </c>
      <c r="BH206">
        <v>5300</v>
      </c>
      <c r="BI206">
        <v>1</v>
      </c>
      <c r="BJ206">
        <v>1</v>
      </c>
      <c r="BK206">
        <v>1</v>
      </c>
      <c r="BL206">
        <v>0</v>
      </c>
      <c r="BO206">
        <v>0</v>
      </c>
      <c r="BP206">
        <v>0</v>
      </c>
      <c r="BW206" t="str">
        <f>"13:52:12.195"</f>
        <v>13:52:12.195</v>
      </c>
      <c r="CJ206">
        <v>0</v>
      </c>
      <c r="CK206">
        <v>2</v>
      </c>
      <c r="CL206">
        <v>0</v>
      </c>
      <c r="CM206">
        <v>2</v>
      </c>
      <c r="CN206">
        <v>0</v>
      </c>
      <c r="CO206">
        <v>7</v>
      </c>
      <c r="CP206" t="s">
        <v>119</v>
      </c>
      <c r="CQ206">
        <v>197</v>
      </c>
      <c r="CR206">
        <v>1</v>
      </c>
      <c r="CW206">
        <v>7069819</v>
      </c>
      <c r="CY206">
        <v>1</v>
      </c>
      <c r="CZ206">
        <v>0</v>
      </c>
      <c r="DA206">
        <v>1</v>
      </c>
      <c r="DB206">
        <v>0</v>
      </c>
      <c r="DC206">
        <v>0</v>
      </c>
      <c r="DD206">
        <v>0</v>
      </c>
      <c r="DE206">
        <v>0</v>
      </c>
      <c r="DF206">
        <v>0</v>
      </c>
      <c r="DG206">
        <v>0</v>
      </c>
      <c r="DH206">
        <v>0</v>
      </c>
      <c r="DI206">
        <v>0</v>
      </c>
    </row>
    <row r="207" spans="1:113" x14ac:dyDescent="0.3">
      <c r="A207" t="str">
        <f>"09/28/2021 13:52:13.370"</f>
        <v>09/28/2021 13:52:13.370</v>
      </c>
      <c r="C207" t="str">
        <f t="shared" si="11"/>
        <v>FFDFD3C0</v>
      </c>
      <c r="D207" t="s">
        <v>113</v>
      </c>
      <c r="E207">
        <v>7</v>
      </c>
      <c r="H207">
        <v>170</v>
      </c>
      <c r="I207" t="s">
        <v>114</v>
      </c>
      <c r="J207" t="s">
        <v>115</v>
      </c>
      <c r="K207">
        <v>0</v>
      </c>
      <c r="L207">
        <v>3</v>
      </c>
      <c r="M207">
        <v>0</v>
      </c>
      <c r="N207">
        <v>2</v>
      </c>
      <c r="O207">
        <v>1</v>
      </c>
      <c r="P207">
        <v>0</v>
      </c>
      <c r="Q207">
        <v>0</v>
      </c>
      <c r="S207" t="str">
        <f>"13:52:13.172"</f>
        <v>13:52:13.172</v>
      </c>
      <c r="T207" t="str">
        <f>"13:52:12.672"</f>
        <v>13:52:12.672</v>
      </c>
      <c r="U207" t="str">
        <f t="shared" si="13"/>
        <v>A92BC1</v>
      </c>
      <c r="V207">
        <v>0</v>
      </c>
      <c r="W207">
        <v>0</v>
      </c>
      <c r="X207">
        <v>2</v>
      </c>
      <c r="Z207">
        <v>0</v>
      </c>
      <c r="AA207">
        <v>9</v>
      </c>
      <c r="AB207">
        <v>3</v>
      </c>
      <c r="AC207">
        <v>0</v>
      </c>
      <c r="AD207">
        <v>10</v>
      </c>
      <c r="AE207">
        <v>0</v>
      </c>
      <c r="AF207">
        <v>3</v>
      </c>
      <c r="AG207">
        <v>2</v>
      </c>
      <c r="AH207">
        <v>0</v>
      </c>
      <c r="AI207" t="s">
        <v>308</v>
      </c>
      <c r="AJ207">
        <v>45.677269000000003</v>
      </c>
      <c r="AK207" t="s">
        <v>309</v>
      </c>
      <c r="AL207">
        <v>-89.475059999999999</v>
      </c>
      <c r="AM207">
        <v>100</v>
      </c>
      <c r="AN207">
        <v>5300</v>
      </c>
      <c r="AO207" t="s">
        <v>118</v>
      </c>
      <c r="AP207">
        <v>139</v>
      </c>
      <c r="AQ207">
        <v>86</v>
      </c>
      <c r="AR207">
        <v>2368</v>
      </c>
      <c r="AZ207">
        <v>1200</v>
      </c>
      <c r="BA207">
        <v>1</v>
      </c>
      <c r="BB207" t="str">
        <f t="shared" si="12"/>
        <v xml:space="preserve">N690LS  </v>
      </c>
      <c r="BC207">
        <v>1</v>
      </c>
      <c r="BE207">
        <v>0</v>
      </c>
      <c r="BF207">
        <v>0</v>
      </c>
      <c r="BG207">
        <v>0</v>
      </c>
      <c r="BH207">
        <v>5325</v>
      </c>
      <c r="BI207">
        <v>1</v>
      </c>
      <c r="BJ207">
        <v>1</v>
      </c>
      <c r="BK207">
        <v>1</v>
      </c>
      <c r="BL207">
        <v>0</v>
      </c>
      <c r="BO207">
        <v>0</v>
      </c>
      <c r="BP207">
        <v>0</v>
      </c>
      <c r="BW207" t="str">
        <f>"13:52:13.177"</f>
        <v>13:52:13.177</v>
      </c>
      <c r="CJ207">
        <v>0</v>
      </c>
      <c r="CK207">
        <v>2</v>
      </c>
      <c r="CL207">
        <v>0</v>
      </c>
      <c r="CM207">
        <v>2</v>
      </c>
      <c r="CN207">
        <v>0</v>
      </c>
      <c r="CO207">
        <v>6</v>
      </c>
      <c r="CP207" t="s">
        <v>119</v>
      </c>
      <c r="CQ207">
        <v>209</v>
      </c>
      <c r="CR207">
        <v>3</v>
      </c>
      <c r="CW207">
        <v>7143480</v>
      </c>
      <c r="CY207">
        <v>1</v>
      </c>
      <c r="CZ207">
        <v>0</v>
      </c>
      <c r="DA207">
        <v>0</v>
      </c>
      <c r="DB207">
        <v>0</v>
      </c>
      <c r="DC207">
        <v>0</v>
      </c>
      <c r="DD207">
        <v>0</v>
      </c>
      <c r="DE207">
        <v>0</v>
      </c>
      <c r="DF207">
        <v>0</v>
      </c>
      <c r="DG207">
        <v>0</v>
      </c>
      <c r="DH207">
        <v>0</v>
      </c>
      <c r="DI207">
        <v>0</v>
      </c>
    </row>
    <row r="208" spans="1:113" x14ac:dyDescent="0.3">
      <c r="A208" t="str">
        <f>"09/28/2021 13:52:13.385"</f>
        <v>09/28/2021 13:52:13.385</v>
      </c>
      <c r="C208" t="str">
        <f t="shared" si="11"/>
        <v>FFDFD3C0</v>
      </c>
      <c r="D208" t="s">
        <v>120</v>
      </c>
      <c r="E208">
        <v>12</v>
      </c>
      <c r="F208">
        <v>1012</v>
      </c>
      <c r="G208" t="s">
        <v>114</v>
      </c>
      <c r="J208" t="s">
        <v>121</v>
      </c>
      <c r="K208">
        <v>0</v>
      </c>
      <c r="L208">
        <v>3</v>
      </c>
      <c r="M208">
        <v>0</v>
      </c>
      <c r="N208">
        <v>2</v>
      </c>
      <c r="O208">
        <v>1</v>
      </c>
      <c r="P208">
        <v>0</v>
      </c>
      <c r="Q208">
        <v>0</v>
      </c>
      <c r="S208" t="str">
        <f>"13:52:13.172"</f>
        <v>13:52:13.172</v>
      </c>
      <c r="T208" t="str">
        <f>"13:52:12.672"</f>
        <v>13:52:12.672</v>
      </c>
      <c r="U208" t="str">
        <f t="shared" si="13"/>
        <v>A92BC1</v>
      </c>
      <c r="V208">
        <v>0</v>
      </c>
      <c r="W208">
        <v>0</v>
      </c>
      <c r="X208">
        <v>2</v>
      </c>
      <c r="Z208">
        <v>0</v>
      </c>
      <c r="AA208">
        <v>9</v>
      </c>
      <c r="AB208">
        <v>3</v>
      </c>
      <c r="AC208">
        <v>0</v>
      </c>
      <c r="AD208">
        <v>10</v>
      </c>
      <c r="AE208">
        <v>0</v>
      </c>
      <c r="AF208">
        <v>3</v>
      </c>
      <c r="AG208">
        <v>2</v>
      </c>
      <c r="AH208">
        <v>0</v>
      </c>
      <c r="AI208" t="s">
        <v>308</v>
      </c>
      <c r="AJ208">
        <v>45.677269000000003</v>
      </c>
      <c r="AK208" t="s">
        <v>309</v>
      </c>
      <c r="AL208">
        <v>-89.475059999999999</v>
      </c>
      <c r="AM208">
        <v>100</v>
      </c>
      <c r="AN208">
        <v>5300</v>
      </c>
      <c r="AO208" t="s">
        <v>118</v>
      </c>
      <c r="AP208">
        <v>139</v>
      </c>
      <c r="AQ208">
        <v>86</v>
      </c>
      <c r="AR208">
        <v>2368</v>
      </c>
      <c r="AZ208">
        <v>1200</v>
      </c>
      <c r="BA208">
        <v>1</v>
      </c>
      <c r="BB208" t="str">
        <f t="shared" si="12"/>
        <v xml:space="preserve">N690LS  </v>
      </c>
      <c r="BC208">
        <v>1</v>
      </c>
      <c r="BE208">
        <v>0</v>
      </c>
      <c r="BF208">
        <v>0</v>
      </c>
      <c r="BG208">
        <v>0</v>
      </c>
      <c r="BH208">
        <v>5325</v>
      </c>
      <c r="BI208">
        <v>1</v>
      </c>
      <c r="BJ208">
        <v>1</v>
      </c>
      <c r="BK208">
        <v>1</v>
      </c>
      <c r="BL208">
        <v>0</v>
      </c>
      <c r="BO208">
        <v>0</v>
      </c>
      <c r="BP208">
        <v>0</v>
      </c>
      <c r="BW208" t="str">
        <f>"13:52:13.177"</f>
        <v>13:52:13.177</v>
      </c>
      <c r="CJ208">
        <v>0</v>
      </c>
      <c r="CK208">
        <v>2</v>
      </c>
      <c r="CL208">
        <v>0</v>
      </c>
      <c r="CM208">
        <v>2</v>
      </c>
      <c r="CN208">
        <v>0</v>
      </c>
      <c r="CO208">
        <v>6</v>
      </c>
      <c r="CP208" t="s">
        <v>119</v>
      </c>
      <c r="CQ208">
        <v>209</v>
      </c>
      <c r="CR208">
        <v>3</v>
      </c>
      <c r="CW208">
        <v>7143480</v>
      </c>
      <c r="CY208">
        <v>1</v>
      </c>
      <c r="CZ208">
        <v>0</v>
      </c>
      <c r="DA208">
        <v>1</v>
      </c>
      <c r="DB208">
        <v>0</v>
      </c>
      <c r="DC208">
        <v>0</v>
      </c>
      <c r="DD208">
        <v>0</v>
      </c>
      <c r="DE208">
        <v>0</v>
      </c>
      <c r="DF208">
        <v>0</v>
      </c>
      <c r="DG208">
        <v>0</v>
      </c>
      <c r="DH208">
        <v>0</v>
      </c>
      <c r="DI208">
        <v>0</v>
      </c>
    </row>
    <row r="209" spans="1:113" x14ac:dyDescent="0.3">
      <c r="A209" t="str">
        <f>"09/28/2021 13:52:14.448"</f>
        <v>09/28/2021 13:52:14.448</v>
      </c>
      <c r="C209" t="str">
        <f t="shared" si="11"/>
        <v>FFDFD3C0</v>
      </c>
      <c r="D209" t="s">
        <v>113</v>
      </c>
      <c r="E209">
        <v>7</v>
      </c>
      <c r="H209">
        <v>170</v>
      </c>
      <c r="I209" t="s">
        <v>114</v>
      </c>
      <c r="J209" t="s">
        <v>115</v>
      </c>
      <c r="K209">
        <v>0</v>
      </c>
      <c r="L209">
        <v>3</v>
      </c>
      <c r="M209">
        <v>0</v>
      </c>
      <c r="N209">
        <v>2</v>
      </c>
      <c r="O209">
        <v>1</v>
      </c>
      <c r="P209">
        <v>0</v>
      </c>
      <c r="Q209">
        <v>0</v>
      </c>
      <c r="S209" t="str">
        <f>"13:52:14.250"</f>
        <v>13:52:14.250</v>
      </c>
      <c r="T209" t="str">
        <f>"13:52:13.850"</f>
        <v>13:52:13.850</v>
      </c>
      <c r="U209" t="str">
        <f t="shared" si="13"/>
        <v>A92BC1</v>
      </c>
      <c r="V209">
        <v>0</v>
      </c>
      <c r="W209">
        <v>0</v>
      </c>
      <c r="X209">
        <v>2</v>
      </c>
      <c r="Z209">
        <v>0</v>
      </c>
      <c r="AA209">
        <v>9</v>
      </c>
      <c r="AB209">
        <v>3</v>
      </c>
      <c r="AC209">
        <v>0</v>
      </c>
      <c r="AD209">
        <v>10</v>
      </c>
      <c r="AE209">
        <v>0</v>
      </c>
      <c r="AF209">
        <v>3</v>
      </c>
      <c r="AG209">
        <v>2</v>
      </c>
      <c r="AH209">
        <v>0</v>
      </c>
      <c r="AI209" t="s">
        <v>310</v>
      </c>
      <c r="AJ209">
        <v>45.677697999999999</v>
      </c>
      <c r="AK209" t="s">
        <v>311</v>
      </c>
      <c r="AL209">
        <v>-89.474029999999999</v>
      </c>
      <c r="AM209">
        <v>100</v>
      </c>
      <c r="AN209">
        <v>5300</v>
      </c>
      <c r="AO209" t="s">
        <v>118</v>
      </c>
      <c r="AP209">
        <v>138</v>
      </c>
      <c r="AQ209">
        <v>86</v>
      </c>
      <c r="AR209">
        <v>2432</v>
      </c>
      <c r="AZ209">
        <v>1200</v>
      </c>
      <c r="BA209">
        <v>1</v>
      </c>
      <c r="BB209" t="str">
        <f t="shared" si="12"/>
        <v xml:space="preserve">N690LS  </v>
      </c>
      <c r="BC209">
        <v>1</v>
      </c>
      <c r="BE209">
        <v>0</v>
      </c>
      <c r="BF209">
        <v>0</v>
      </c>
      <c r="BG209">
        <v>0</v>
      </c>
      <c r="BH209">
        <v>5375</v>
      </c>
      <c r="BI209">
        <v>1</v>
      </c>
      <c r="BJ209">
        <v>1</v>
      </c>
      <c r="BK209">
        <v>1</v>
      </c>
      <c r="BL209">
        <v>0</v>
      </c>
      <c r="BO209">
        <v>0</v>
      </c>
      <c r="BP209">
        <v>0</v>
      </c>
      <c r="BW209" t="str">
        <f>"13:52:14.253"</f>
        <v>13:52:14.253</v>
      </c>
      <c r="CJ209">
        <v>0</v>
      </c>
      <c r="CK209">
        <v>2</v>
      </c>
      <c r="CL209">
        <v>0</v>
      </c>
      <c r="CM209">
        <v>2</v>
      </c>
      <c r="CN209">
        <v>0</v>
      </c>
      <c r="CO209">
        <v>6</v>
      </c>
      <c r="CP209" t="s">
        <v>119</v>
      </c>
      <c r="CQ209">
        <v>209</v>
      </c>
      <c r="CR209">
        <v>3</v>
      </c>
      <c r="CW209">
        <v>7143840</v>
      </c>
      <c r="CY209">
        <v>1</v>
      </c>
      <c r="CZ209">
        <v>0</v>
      </c>
      <c r="DA209">
        <v>0</v>
      </c>
      <c r="DB209">
        <v>0</v>
      </c>
      <c r="DC209">
        <v>0</v>
      </c>
      <c r="DD209">
        <v>0</v>
      </c>
      <c r="DE209">
        <v>0</v>
      </c>
      <c r="DF209">
        <v>0</v>
      </c>
      <c r="DG209">
        <v>0</v>
      </c>
      <c r="DH209">
        <v>0</v>
      </c>
      <c r="DI209">
        <v>0</v>
      </c>
    </row>
    <row r="210" spans="1:113" x14ac:dyDescent="0.3">
      <c r="A210" t="str">
        <f>"09/28/2021 13:52:14.448"</f>
        <v>09/28/2021 13:52:14.448</v>
      </c>
      <c r="C210" t="str">
        <f t="shared" si="11"/>
        <v>FFDFD3C0</v>
      </c>
      <c r="D210" t="s">
        <v>120</v>
      </c>
      <c r="E210">
        <v>12</v>
      </c>
      <c r="F210">
        <v>1012</v>
      </c>
      <c r="G210" t="s">
        <v>114</v>
      </c>
      <c r="J210" t="s">
        <v>121</v>
      </c>
      <c r="K210">
        <v>0</v>
      </c>
      <c r="L210">
        <v>3</v>
      </c>
      <c r="M210">
        <v>0</v>
      </c>
      <c r="N210">
        <v>2</v>
      </c>
      <c r="O210">
        <v>1</v>
      </c>
      <c r="P210">
        <v>0</v>
      </c>
      <c r="Q210">
        <v>0</v>
      </c>
      <c r="S210" t="str">
        <f>"13:52:14.250"</f>
        <v>13:52:14.250</v>
      </c>
      <c r="T210" t="str">
        <f>"13:52:13.850"</f>
        <v>13:52:13.850</v>
      </c>
      <c r="U210" t="str">
        <f t="shared" si="13"/>
        <v>A92BC1</v>
      </c>
      <c r="V210">
        <v>0</v>
      </c>
      <c r="W210">
        <v>0</v>
      </c>
      <c r="X210">
        <v>2</v>
      </c>
      <c r="Z210">
        <v>0</v>
      </c>
      <c r="AA210">
        <v>9</v>
      </c>
      <c r="AB210">
        <v>3</v>
      </c>
      <c r="AC210">
        <v>0</v>
      </c>
      <c r="AD210">
        <v>10</v>
      </c>
      <c r="AE210">
        <v>0</v>
      </c>
      <c r="AF210">
        <v>3</v>
      </c>
      <c r="AG210">
        <v>2</v>
      </c>
      <c r="AH210">
        <v>0</v>
      </c>
      <c r="AI210" t="s">
        <v>310</v>
      </c>
      <c r="AJ210">
        <v>45.677697999999999</v>
      </c>
      <c r="AK210" t="s">
        <v>311</v>
      </c>
      <c r="AL210">
        <v>-89.474029999999999</v>
      </c>
      <c r="AM210">
        <v>100</v>
      </c>
      <c r="AN210">
        <v>5300</v>
      </c>
      <c r="AO210" t="s">
        <v>118</v>
      </c>
      <c r="AP210">
        <v>138</v>
      </c>
      <c r="AQ210">
        <v>86</v>
      </c>
      <c r="AR210">
        <v>2432</v>
      </c>
      <c r="AZ210">
        <v>1200</v>
      </c>
      <c r="BA210">
        <v>1</v>
      </c>
      <c r="BB210" t="str">
        <f t="shared" si="12"/>
        <v xml:space="preserve">N690LS  </v>
      </c>
      <c r="BC210">
        <v>1</v>
      </c>
      <c r="BE210">
        <v>0</v>
      </c>
      <c r="BF210">
        <v>0</v>
      </c>
      <c r="BG210">
        <v>0</v>
      </c>
      <c r="BH210">
        <v>5375</v>
      </c>
      <c r="BI210">
        <v>1</v>
      </c>
      <c r="BJ210">
        <v>1</v>
      </c>
      <c r="BK210">
        <v>1</v>
      </c>
      <c r="BL210">
        <v>0</v>
      </c>
      <c r="BO210">
        <v>0</v>
      </c>
      <c r="BP210">
        <v>0</v>
      </c>
      <c r="BW210" t="str">
        <f>"13:52:14.253"</f>
        <v>13:52:14.253</v>
      </c>
      <c r="CJ210">
        <v>0</v>
      </c>
      <c r="CK210">
        <v>2</v>
      </c>
      <c r="CL210">
        <v>0</v>
      </c>
      <c r="CM210">
        <v>2</v>
      </c>
      <c r="CN210">
        <v>0</v>
      </c>
      <c r="CO210">
        <v>6</v>
      </c>
      <c r="CP210" t="s">
        <v>119</v>
      </c>
      <c r="CQ210">
        <v>209</v>
      </c>
      <c r="CR210">
        <v>3</v>
      </c>
      <c r="CW210">
        <v>7143840</v>
      </c>
      <c r="CY210">
        <v>1</v>
      </c>
      <c r="CZ210">
        <v>0</v>
      </c>
      <c r="DA210">
        <v>1</v>
      </c>
      <c r="DB210">
        <v>0</v>
      </c>
      <c r="DC210">
        <v>0</v>
      </c>
      <c r="DD210">
        <v>0</v>
      </c>
      <c r="DE210">
        <v>0</v>
      </c>
      <c r="DF210">
        <v>0</v>
      </c>
      <c r="DG210">
        <v>0</v>
      </c>
      <c r="DH210">
        <v>0</v>
      </c>
      <c r="DI210">
        <v>0</v>
      </c>
    </row>
    <row r="211" spans="1:113" x14ac:dyDescent="0.3">
      <c r="A211" t="str">
        <f>"09/28/2021 13:52:15.479"</f>
        <v>09/28/2021 13:52:15.479</v>
      </c>
      <c r="C211" t="str">
        <f t="shared" si="11"/>
        <v>FFDFD3C0</v>
      </c>
      <c r="D211" t="s">
        <v>120</v>
      </c>
      <c r="E211">
        <v>12</v>
      </c>
      <c r="F211">
        <v>1012</v>
      </c>
      <c r="G211" t="s">
        <v>114</v>
      </c>
      <c r="J211" t="s">
        <v>121</v>
      </c>
      <c r="K211">
        <v>0</v>
      </c>
      <c r="L211">
        <v>3</v>
      </c>
      <c r="M211">
        <v>0</v>
      </c>
      <c r="N211">
        <v>2</v>
      </c>
      <c r="O211">
        <v>1</v>
      </c>
      <c r="P211">
        <v>0</v>
      </c>
      <c r="Q211">
        <v>0</v>
      </c>
      <c r="S211" t="str">
        <f>"13:52:15.211"</f>
        <v>13:52:15.211</v>
      </c>
      <c r="T211" t="str">
        <f>"13:52:14.811"</f>
        <v>13:52:14.811</v>
      </c>
      <c r="U211" t="str">
        <f t="shared" si="13"/>
        <v>A92BC1</v>
      </c>
      <c r="V211">
        <v>0</v>
      </c>
      <c r="W211">
        <v>0</v>
      </c>
      <c r="X211">
        <v>2</v>
      </c>
      <c r="Z211">
        <v>0</v>
      </c>
      <c r="AA211">
        <v>9</v>
      </c>
      <c r="AB211">
        <v>3</v>
      </c>
      <c r="AC211">
        <v>0</v>
      </c>
      <c r="AD211">
        <v>10</v>
      </c>
      <c r="AE211">
        <v>0</v>
      </c>
      <c r="AF211">
        <v>3</v>
      </c>
      <c r="AG211">
        <v>2</v>
      </c>
      <c r="AH211">
        <v>0</v>
      </c>
      <c r="AI211" t="s">
        <v>312</v>
      </c>
      <c r="AJ211">
        <v>45.678041</v>
      </c>
      <c r="AK211" t="s">
        <v>313</v>
      </c>
      <c r="AL211">
        <v>-89.473192999999995</v>
      </c>
      <c r="AM211">
        <v>100</v>
      </c>
      <c r="AN211">
        <v>5300</v>
      </c>
      <c r="AO211" t="s">
        <v>118</v>
      </c>
      <c r="AP211">
        <v>138</v>
      </c>
      <c r="AQ211">
        <v>86</v>
      </c>
      <c r="AR211">
        <v>2432</v>
      </c>
      <c r="AZ211">
        <v>1200</v>
      </c>
      <c r="BA211">
        <v>1</v>
      </c>
      <c r="BB211" t="str">
        <f t="shared" si="12"/>
        <v xml:space="preserve">N690LS  </v>
      </c>
      <c r="BC211">
        <v>1</v>
      </c>
      <c r="BE211">
        <v>0</v>
      </c>
      <c r="BF211">
        <v>0</v>
      </c>
      <c r="BG211">
        <v>0</v>
      </c>
      <c r="BH211">
        <v>5425</v>
      </c>
      <c r="BI211">
        <v>1</v>
      </c>
      <c r="BJ211">
        <v>1</v>
      </c>
      <c r="BK211">
        <v>1</v>
      </c>
      <c r="BL211">
        <v>0</v>
      </c>
      <c r="BO211">
        <v>0</v>
      </c>
      <c r="BP211">
        <v>0</v>
      </c>
      <c r="BW211" t="str">
        <f>"13:52:15.215"</f>
        <v>13:52:15.215</v>
      </c>
      <c r="CJ211">
        <v>0</v>
      </c>
      <c r="CK211">
        <v>2</v>
      </c>
      <c r="CL211">
        <v>0</v>
      </c>
      <c r="CM211">
        <v>2</v>
      </c>
      <c r="CN211">
        <v>0</v>
      </c>
      <c r="CO211">
        <v>7</v>
      </c>
      <c r="CP211" t="s">
        <v>119</v>
      </c>
      <c r="CQ211">
        <v>197</v>
      </c>
      <c r="CR211">
        <v>2</v>
      </c>
      <c r="CW211">
        <v>2185626</v>
      </c>
      <c r="CY211">
        <v>1</v>
      </c>
      <c r="CZ211">
        <v>0</v>
      </c>
      <c r="DA211">
        <v>0</v>
      </c>
      <c r="DB211">
        <v>0</v>
      </c>
      <c r="DC211">
        <v>0</v>
      </c>
      <c r="DD211">
        <v>0</v>
      </c>
      <c r="DE211">
        <v>0</v>
      </c>
      <c r="DF211">
        <v>0</v>
      </c>
      <c r="DG211">
        <v>0</v>
      </c>
      <c r="DH211">
        <v>0</v>
      </c>
      <c r="DI211">
        <v>0</v>
      </c>
    </row>
    <row r="212" spans="1:113" x14ac:dyDescent="0.3">
      <c r="A212" t="str">
        <f>"09/28/2021 13:52:15.495"</f>
        <v>09/28/2021 13:52:15.495</v>
      </c>
      <c r="C212" t="str">
        <f t="shared" si="11"/>
        <v>FFDFD3C0</v>
      </c>
      <c r="D212" t="s">
        <v>113</v>
      </c>
      <c r="E212">
        <v>7</v>
      </c>
      <c r="H212">
        <v>170</v>
      </c>
      <c r="I212" t="s">
        <v>114</v>
      </c>
      <c r="J212" t="s">
        <v>115</v>
      </c>
      <c r="K212">
        <v>0</v>
      </c>
      <c r="L212">
        <v>3</v>
      </c>
      <c r="M212">
        <v>0</v>
      </c>
      <c r="N212">
        <v>2</v>
      </c>
      <c r="O212">
        <v>1</v>
      </c>
      <c r="P212">
        <v>0</v>
      </c>
      <c r="Q212">
        <v>0</v>
      </c>
      <c r="S212" t="str">
        <f>"13:52:15.211"</f>
        <v>13:52:15.211</v>
      </c>
      <c r="T212" t="str">
        <f>"13:52:14.811"</f>
        <v>13:52:14.811</v>
      </c>
      <c r="U212" t="str">
        <f t="shared" si="13"/>
        <v>A92BC1</v>
      </c>
      <c r="V212">
        <v>0</v>
      </c>
      <c r="W212">
        <v>0</v>
      </c>
      <c r="X212">
        <v>2</v>
      </c>
      <c r="Z212">
        <v>0</v>
      </c>
      <c r="AA212">
        <v>9</v>
      </c>
      <c r="AB212">
        <v>3</v>
      </c>
      <c r="AC212">
        <v>0</v>
      </c>
      <c r="AD212">
        <v>10</v>
      </c>
      <c r="AE212">
        <v>0</v>
      </c>
      <c r="AF212">
        <v>3</v>
      </c>
      <c r="AG212">
        <v>2</v>
      </c>
      <c r="AH212">
        <v>0</v>
      </c>
      <c r="AI212" t="s">
        <v>312</v>
      </c>
      <c r="AJ212">
        <v>45.678041</v>
      </c>
      <c r="AK212" t="s">
        <v>313</v>
      </c>
      <c r="AL212">
        <v>-89.473192999999995</v>
      </c>
      <c r="AM212">
        <v>100</v>
      </c>
      <c r="AN212">
        <v>5300</v>
      </c>
      <c r="AO212" t="s">
        <v>118</v>
      </c>
      <c r="AP212">
        <v>138</v>
      </c>
      <c r="AQ212">
        <v>86</v>
      </c>
      <c r="AR212">
        <v>2432</v>
      </c>
      <c r="AZ212">
        <v>1200</v>
      </c>
      <c r="BA212">
        <v>1</v>
      </c>
      <c r="BB212" t="str">
        <f t="shared" si="12"/>
        <v xml:space="preserve">N690LS  </v>
      </c>
      <c r="BC212">
        <v>1</v>
      </c>
      <c r="BE212">
        <v>0</v>
      </c>
      <c r="BF212">
        <v>0</v>
      </c>
      <c r="BG212">
        <v>0</v>
      </c>
      <c r="BH212">
        <v>5425</v>
      </c>
      <c r="BI212">
        <v>1</v>
      </c>
      <c r="BJ212">
        <v>1</v>
      </c>
      <c r="BK212">
        <v>1</v>
      </c>
      <c r="BL212">
        <v>0</v>
      </c>
      <c r="BO212">
        <v>0</v>
      </c>
      <c r="BP212">
        <v>0</v>
      </c>
      <c r="BW212" t="str">
        <f>"13:52:15.215"</f>
        <v>13:52:15.215</v>
      </c>
      <c r="CJ212">
        <v>0</v>
      </c>
      <c r="CK212">
        <v>2</v>
      </c>
      <c r="CL212">
        <v>0</v>
      </c>
      <c r="CM212">
        <v>2</v>
      </c>
      <c r="CN212">
        <v>0</v>
      </c>
      <c r="CO212">
        <v>7</v>
      </c>
      <c r="CP212" t="s">
        <v>119</v>
      </c>
      <c r="CQ212">
        <v>197</v>
      </c>
      <c r="CR212">
        <v>2</v>
      </c>
      <c r="CW212">
        <v>2185626</v>
      </c>
      <c r="CY212">
        <v>1</v>
      </c>
      <c r="CZ212">
        <v>0</v>
      </c>
      <c r="DA212">
        <v>1</v>
      </c>
      <c r="DB212">
        <v>0</v>
      </c>
      <c r="DC212">
        <v>0</v>
      </c>
      <c r="DD212">
        <v>0</v>
      </c>
      <c r="DE212">
        <v>0</v>
      </c>
      <c r="DF212">
        <v>0</v>
      </c>
      <c r="DG212">
        <v>0</v>
      </c>
      <c r="DH212">
        <v>0</v>
      </c>
      <c r="DI212">
        <v>0</v>
      </c>
    </row>
    <row r="213" spans="1:113" x14ac:dyDescent="0.3">
      <c r="A213" t="str">
        <f>"09/28/2021 13:52:16.370"</f>
        <v>09/28/2021 13:52:16.370</v>
      </c>
      <c r="C213" t="str">
        <f t="shared" si="11"/>
        <v>FFDFD3C0</v>
      </c>
      <c r="D213" t="s">
        <v>120</v>
      </c>
      <c r="E213">
        <v>12</v>
      </c>
      <c r="F213">
        <v>1012</v>
      </c>
      <c r="G213" t="s">
        <v>114</v>
      </c>
      <c r="J213" t="s">
        <v>121</v>
      </c>
      <c r="K213">
        <v>0</v>
      </c>
      <c r="L213">
        <v>3</v>
      </c>
      <c r="M213">
        <v>0</v>
      </c>
      <c r="N213">
        <v>2</v>
      </c>
      <c r="O213">
        <v>1</v>
      </c>
      <c r="P213">
        <v>0</v>
      </c>
      <c r="Q213">
        <v>0</v>
      </c>
      <c r="S213" t="str">
        <f>"13:52:16.133"</f>
        <v>13:52:16.133</v>
      </c>
      <c r="T213" t="str">
        <f>"13:52:15.733"</f>
        <v>13:52:15.733</v>
      </c>
      <c r="U213" t="str">
        <f t="shared" si="13"/>
        <v>A92BC1</v>
      </c>
      <c r="V213">
        <v>0</v>
      </c>
      <c r="W213">
        <v>0</v>
      </c>
      <c r="X213">
        <v>2</v>
      </c>
      <c r="Z213">
        <v>0</v>
      </c>
      <c r="AA213">
        <v>9</v>
      </c>
      <c r="AB213">
        <v>3</v>
      </c>
      <c r="AC213">
        <v>0</v>
      </c>
      <c r="AD213">
        <v>10</v>
      </c>
      <c r="AE213">
        <v>0</v>
      </c>
      <c r="AF213">
        <v>3</v>
      </c>
      <c r="AG213">
        <v>2</v>
      </c>
      <c r="AH213">
        <v>0</v>
      </c>
      <c r="AI213" t="s">
        <v>314</v>
      </c>
      <c r="AJ213">
        <v>45.678449000000001</v>
      </c>
      <c r="AK213" t="s">
        <v>315</v>
      </c>
      <c r="AL213">
        <v>-89.472313</v>
      </c>
      <c r="AM213">
        <v>100</v>
      </c>
      <c r="AN213">
        <v>5400</v>
      </c>
      <c r="AO213" t="s">
        <v>118</v>
      </c>
      <c r="AP213">
        <v>137</v>
      </c>
      <c r="AQ213">
        <v>87</v>
      </c>
      <c r="AR213">
        <v>2432</v>
      </c>
      <c r="AZ213">
        <v>1200</v>
      </c>
      <c r="BA213">
        <v>1</v>
      </c>
      <c r="BB213" t="str">
        <f t="shared" si="12"/>
        <v xml:space="preserve">N690LS  </v>
      </c>
      <c r="BC213">
        <v>1</v>
      </c>
      <c r="BE213">
        <v>0</v>
      </c>
      <c r="BF213">
        <v>0</v>
      </c>
      <c r="BG213">
        <v>0</v>
      </c>
      <c r="BH213">
        <v>5450</v>
      </c>
      <c r="BI213">
        <v>1</v>
      </c>
      <c r="BJ213">
        <v>1</v>
      </c>
      <c r="BK213">
        <v>1</v>
      </c>
      <c r="BL213">
        <v>0</v>
      </c>
      <c r="BO213">
        <v>0</v>
      </c>
      <c r="BP213">
        <v>0</v>
      </c>
      <c r="BW213" t="str">
        <f>"13:52:16.139"</f>
        <v>13:52:16.139</v>
      </c>
      <c r="CJ213">
        <v>0</v>
      </c>
      <c r="CK213">
        <v>2</v>
      </c>
      <c r="CL213">
        <v>0</v>
      </c>
      <c r="CM213">
        <v>2</v>
      </c>
      <c r="CN213">
        <v>0</v>
      </c>
      <c r="CO213">
        <v>5</v>
      </c>
      <c r="CP213" t="s">
        <v>119</v>
      </c>
      <c r="CQ213">
        <v>209</v>
      </c>
      <c r="CR213">
        <v>3</v>
      </c>
      <c r="CW213">
        <v>7144405</v>
      </c>
      <c r="CY213">
        <v>1</v>
      </c>
      <c r="CZ213">
        <v>0</v>
      </c>
      <c r="DA213">
        <v>0</v>
      </c>
      <c r="DB213">
        <v>0</v>
      </c>
      <c r="DC213">
        <v>0</v>
      </c>
      <c r="DD213">
        <v>0</v>
      </c>
      <c r="DE213">
        <v>0</v>
      </c>
      <c r="DF213">
        <v>0</v>
      </c>
      <c r="DG213">
        <v>0</v>
      </c>
      <c r="DH213">
        <v>0</v>
      </c>
      <c r="DI213">
        <v>0</v>
      </c>
    </row>
    <row r="214" spans="1:113" x14ac:dyDescent="0.3">
      <c r="A214" t="str">
        <f>"09/28/2021 13:52:16.370"</f>
        <v>09/28/2021 13:52:16.370</v>
      </c>
      <c r="C214" t="str">
        <f t="shared" si="11"/>
        <v>FFDFD3C0</v>
      </c>
      <c r="D214" t="s">
        <v>113</v>
      </c>
      <c r="E214">
        <v>7</v>
      </c>
      <c r="H214">
        <v>170</v>
      </c>
      <c r="I214" t="s">
        <v>114</v>
      </c>
      <c r="J214" t="s">
        <v>115</v>
      </c>
      <c r="K214">
        <v>0</v>
      </c>
      <c r="L214">
        <v>3</v>
      </c>
      <c r="M214">
        <v>0</v>
      </c>
      <c r="N214">
        <v>2</v>
      </c>
      <c r="O214">
        <v>1</v>
      </c>
      <c r="P214">
        <v>0</v>
      </c>
      <c r="Q214">
        <v>0</v>
      </c>
      <c r="S214" t="str">
        <f>"13:52:16.133"</f>
        <v>13:52:16.133</v>
      </c>
      <c r="T214" t="str">
        <f>"13:52:15.733"</f>
        <v>13:52:15.733</v>
      </c>
      <c r="U214" t="str">
        <f t="shared" si="13"/>
        <v>A92BC1</v>
      </c>
      <c r="V214">
        <v>0</v>
      </c>
      <c r="W214">
        <v>0</v>
      </c>
      <c r="X214">
        <v>2</v>
      </c>
      <c r="Z214">
        <v>0</v>
      </c>
      <c r="AA214">
        <v>9</v>
      </c>
      <c r="AB214">
        <v>3</v>
      </c>
      <c r="AC214">
        <v>0</v>
      </c>
      <c r="AD214">
        <v>10</v>
      </c>
      <c r="AE214">
        <v>0</v>
      </c>
      <c r="AF214">
        <v>3</v>
      </c>
      <c r="AG214">
        <v>2</v>
      </c>
      <c r="AH214">
        <v>0</v>
      </c>
      <c r="AI214" t="s">
        <v>314</v>
      </c>
      <c r="AJ214">
        <v>45.678449000000001</v>
      </c>
      <c r="AK214" t="s">
        <v>315</v>
      </c>
      <c r="AL214">
        <v>-89.472313</v>
      </c>
      <c r="AM214">
        <v>100</v>
      </c>
      <c r="AN214">
        <v>5400</v>
      </c>
      <c r="AO214" t="s">
        <v>118</v>
      </c>
      <c r="AP214">
        <v>137</v>
      </c>
      <c r="AQ214">
        <v>87</v>
      </c>
      <c r="AR214">
        <v>2432</v>
      </c>
      <c r="AZ214">
        <v>1200</v>
      </c>
      <c r="BA214">
        <v>1</v>
      </c>
      <c r="BB214" t="str">
        <f t="shared" si="12"/>
        <v xml:space="preserve">N690LS  </v>
      </c>
      <c r="BC214">
        <v>1</v>
      </c>
      <c r="BE214">
        <v>0</v>
      </c>
      <c r="BF214">
        <v>0</v>
      </c>
      <c r="BG214">
        <v>0</v>
      </c>
      <c r="BH214">
        <v>5450</v>
      </c>
      <c r="BI214">
        <v>1</v>
      </c>
      <c r="BJ214">
        <v>1</v>
      </c>
      <c r="BK214">
        <v>1</v>
      </c>
      <c r="BL214">
        <v>0</v>
      </c>
      <c r="BO214">
        <v>0</v>
      </c>
      <c r="BP214">
        <v>0</v>
      </c>
      <c r="BW214" t="str">
        <f>"13:52:16.139"</f>
        <v>13:52:16.139</v>
      </c>
      <c r="CJ214">
        <v>0</v>
      </c>
      <c r="CK214">
        <v>2</v>
      </c>
      <c r="CL214">
        <v>0</v>
      </c>
      <c r="CM214">
        <v>2</v>
      </c>
      <c r="CN214">
        <v>0</v>
      </c>
      <c r="CO214">
        <v>5</v>
      </c>
      <c r="CP214" t="s">
        <v>119</v>
      </c>
      <c r="CQ214">
        <v>209</v>
      </c>
      <c r="CR214">
        <v>3</v>
      </c>
      <c r="CW214">
        <v>7144405</v>
      </c>
      <c r="CY214">
        <v>1</v>
      </c>
      <c r="CZ214">
        <v>0</v>
      </c>
      <c r="DA214">
        <v>1</v>
      </c>
      <c r="DB214">
        <v>0</v>
      </c>
      <c r="DC214">
        <v>0</v>
      </c>
      <c r="DD214">
        <v>0</v>
      </c>
      <c r="DE214">
        <v>0</v>
      </c>
      <c r="DF214">
        <v>0</v>
      </c>
      <c r="DG214">
        <v>0</v>
      </c>
      <c r="DH214">
        <v>0</v>
      </c>
      <c r="DI214">
        <v>0</v>
      </c>
    </row>
    <row r="215" spans="1:113" x14ac:dyDescent="0.3">
      <c r="A215" t="str">
        <f>"09/28/2021 13:52:17.382"</f>
        <v>09/28/2021 13:52:17.382</v>
      </c>
      <c r="C215" t="str">
        <f t="shared" si="11"/>
        <v>FFDFD3C0</v>
      </c>
      <c r="D215" t="s">
        <v>120</v>
      </c>
      <c r="E215">
        <v>12</v>
      </c>
      <c r="F215">
        <v>1012</v>
      </c>
      <c r="G215" t="s">
        <v>114</v>
      </c>
      <c r="J215" t="s">
        <v>121</v>
      </c>
      <c r="K215">
        <v>0</v>
      </c>
      <c r="L215">
        <v>3</v>
      </c>
      <c r="M215">
        <v>0</v>
      </c>
      <c r="N215">
        <v>2</v>
      </c>
      <c r="O215">
        <v>1</v>
      </c>
      <c r="P215">
        <v>0</v>
      </c>
      <c r="Q215">
        <v>0</v>
      </c>
      <c r="S215" t="str">
        <f>"13:52:17.180"</f>
        <v>13:52:17.180</v>
      </c>
      <c r="T215" t="str">
        <f>"13:52:16.680"</f>
        <v>13:52:16.680</v>
      </c>
      <c r="U215" t="str">
        <f t="shared" si="13"/>
        <v>A92BC1</v>
      </c>
      <c r="V215">
        <v>0</v>
      </c>
      <c r="W215">
        <v>0</v>
      </c>
      <c r="X215">
        <v>2</v>
      </c>
      <c r="Z215">
        <v>0</v>
      </c>
      <c r="AA215">
        <v>9</v>
      </c>
      <c r="AB215">
        <v>3</v>
      </c>
      <c r="AC215">
        <v>0</v>
      </c>
      <c r="AD215">
        <v>10</v>
      </c>
      <c r="AE215">
        <v>0</v>
      </c>
      <c r="AF215">
        <v>3</v>
      </c>
      <c r="AG215">
        <v>2</v>
      </c>
      <c r="AH215">
        <v>0</v>
      </c>
      <c r="AI215" t="s">
        <v>316</v>
      </c>
      <c r="AJ215">
        <v>45.678856000000003</v>
      </c>
      <c r="AK215" t="s">
        <v>317</v>
      </c>
      <c r="AL215">
        <v>-89.47139</v>
      </c>
      <c r="AM215">
        <v>100</v>
      </c>
      <c r="AN215">
        <v>5400</v>
      </c>
      <c r="AO215" t="s">
        <v>118</v>
      </c>
      <c r="AP215">
        <v>136</v>
      </c>
      <c r="AQ215">
        <v>88</v>
      </c>
      <c r="AR215">
        <v>2368</v>
      </c>
      <c r="AZ215">
        <v>1200</v>
      </c>
      <c r="BA215">
        <v>1</v>
      </c>
      <c r="BB215" t="str">
        <f t="shared" si="12"/>
        <v xml:space="preserve">N690LS  </v>
      </c>
      <c r="BC215">
        <v>1</v>
      </c>
      <c r="BE215">
        <v>0</v>
      </c>
      <c r="BF215">
        <v>0</v>
      </c>
      <c r="BG215">
        <v>0</v>
      </c>
      <c r="BH215">
        <v>5500</v>
      </c>
      <c r="BI215">
        <v>1</v>
      </c>
      <c r="BJ215">
        <v>1</v>
      </c>
      <c r="BK215">
        <v>1</v>
      </c>
      <c r="BL215">
        <v>0</v>
      </c>
      <c r="BO215">
        <v>0</v>
      </c>
      <c r="BP215">
        <v>0</v>
      </c>
      <c r="BW215" t="str">
        <f>"13:52:17.184"</f>
        <v>13:52:17.184</v>
      </c>
      <c r="CJ215">
        <v>0</v>
      </c>
      <c r="CK215">
        <v>2</v>
      </c>
      <c r="CL215">
        <v>0</v>
      </c>
      <c r="CM215">
        <v>2</v>
      </c>
      <c r="CN215">
        <v>0</v>
      </c>
      <c r="CO215">
        <v>5</v>
      </c>
      <c r="CP215" t="s">
        <v>119</v>
      </c>
      <c r="CQ215">
        <v>209</v>
      </c>
      <c r="CR215">
        <v>2</v>
      </c>
      <c r="CW215">
        <v>11603276</v>
      </c>
      <c r="CY215">
        <v>1</v>
      </c>
      <c r="CZ215">
        <v>0</v>
      </c>
      <c r="DA215">
        <v>0</v>
      </c>
      <c r="DB215">
        <v>0</v>
      </c>
      <c r="DC215">
        <v>0</v>
      </c>
      <c r="DD215">
        <v>0</v>
      </c>
      <c r="DE215">
        <v>0</v>
      </c>
      <c r="DF215">
        <v>0</v>
      </c>
      <c r="DG215">
        <v>0</v>
      </c>
      <c r="DH215">
        <v>0</v>
      </c>
      <c r="DI215">
        <v>0</v>
      </c>
    </row>
    <row r="216" spans="1:113" x14ac:dyDescent="0.3">
      <c r="A216" t="str">
        <f>"09/28/2021 13:52:17.382"</f>
        <v>09/28/2021 13:52:17.382</v>
      </c>
      <c r="C216" t="str">
        <f t="shared" si="11"/>
        <v>FFDFD3C0</v>
      </c>
      <c r="D216" t="s">
        <v>113</v>
      </c>
      <c r="E216">
        <v>7</v>
      </c>
      <c r="H216">
        <v>170</v>
      </c>
      <c r="I216" t="s">
        <v>114</v>
      </c>
      <c r="J216" t="s">
        <v>115</v>
      </c>
      <c r="K216">
        <v>0</v>
      </c>
      <c r="L216">
        <v>3</v>
      </c>
      <c r="M216">
        <v>0</v>
      </c>
      <c r="N216">
        <v>2</v>
      </c>
      <c r="O216">
        <v>1</v>
      </c>
      <c r="P216">
        <v>0</v>
      </c>
      <c r="Q216">
        <v>0</v>
      </c>
      <c r="S216" t="str">
        <f>"13:52:17.180"</f>
        <v>13:52:17.180</v>
      </c>
      <c r="T216" t="str">
        <f>"13:52:16.680"</f>
        <v>13:52:16.680</v>
      </c>
      <c r="U216" t="str">
        <f t="shared" si="13"/>
        <v>A92BC1</v>
      </c>
      <c r="V216">
        <v>0</v>
      </c>
      <c r="W216">
        <v>0</v>
      </c>
      <c r="X216">
        <v>2</v>
      </c>
      <c r="Z216">
        <v>0</v>
      </c>
      <c r="AA216">
        <v>9</v>
      </c>
      <c r="AB216">
        <v>3</v>
      </c>
      <c r="AC216">
        <v>0</v>
      </c>
      <c r="AD216">
        <v>10</v>
      </c>
      <c r="AE216">
        <v>0</v>
      </c>
      <c r="AF216">
        <v>3</v>
      </c>
      <c r="AG216">
        <v>2</v>
      </c>
      <c r="AH216">
        <v>0</v>
      </c>
      <c r="AI216" t="s">
        <v>316</v>
      </c>
      <c r="AJ216">
        <v>45.678856000000003</v>
      </c>
      <c r="AK216" t="s">
        <v>317</v>
      </c>
      <c r="AL216">
        <v>-89.47139</v>
      </c>
      <c r="AM216">
        <v>100</v>
      </c>
      <c r="AN216">
        <v>5400</v>
      </c>
      <c r="AO216" t="s">
        <v>118</v>
      </c>
      <c r="AP216">
        <v>136</v>
      </c>
      <c r="AQ216">
        <v>88</v>
      </c>
      <c r="AR216">
        <v>2368</v>
      </c>
      <c r="AZ216">
        <v>1200</v>
      </c>
      <c r="BA216">
        <v>1</v>
      </c>
      <c r="BB216" t="str">
        <f t="shared" si="12"/>
        <v xml:space="preserve">N690LS  </v>
      </c>
      <c r="BC216">
        <v>1</v>
      </c>
      <c r="BE216">
        <v>0</v>
      </c>
      <c r="BF216">
        <v>0</v>
      </c>
      <c r="BG216">
        <v>0</v>
      </c>
      <c r="BH216">
        <v>5500</v>
      </c>
      <c r="BI216">
        <v>1</v>
      </c>
      <c r="BJ216">
        <v>1</v>
      </c>
      <c r="BK216">
        <v>1</v>
      </c>
      <c r="BL216">
        <v>0</v>
      </c>
      <c r="BO216">
        <v>0</v>
      </c>
      <c r="BP216">
        <v>0</v>
      </c>
      <c r="BW216" t="str">
        <f>"13:52:17.184"</f>
        <v>13:52:17.184</v>
      </c>
      <c r="CJ216">
        <v>0</v>
      </c>
      <c r="CK216">
        <v>2</v>
      </c>
      <c r="CL216">
        <v>0</v>
      </c>
      <c r="CM216">
        <v>2</v>
      </c>
      <c r="CN216">
        <v>0</v>
      </c>
      <c r="CO216">
        <v>5</v>
      </c>
      <c r="CP216" t="s">
        <v>119</v>
      </c>
      <c r="CQ216">
        <v>209</v>
      </c>
      <c r="CR216">
        <v>2</v>
      </c>
      <c r="CW216">
        <v>11603276</v>
      </c>
      <c r="CY216">
        <v>1</v>
      </c>
      <c r="CZ216">
        <v>0</v>
      </c>
      <c r="DA216">
        <v>1</v>
      </c>
      <c r="DB216">
        <v>0</v>
      </c>
      <c r="DC216">
        <v>0</v>
      </c>
      <c r="DD216">
        <v>0</v>
      </c>
      <c r="DE216">
        <v>0</v>
      </c>
      <c r="DF216">
        <v>0</v>
      </c>
      <c r="DG216">
        <v>0</v>
      </c>
      <c r="DH216">
        <v>0</v>
      </c>
      <c r="DI216">
        <v>0</v>
      </c>
    </row>
    <row r="217" spans="1:113" x14ac:dyDescent="0.3">
      <c r="A217" t="str">
        <f>"09/28/2021 13:52:18.557"</f>
        <v>09/28/2021 13:52:18.557</v>
      </c>
      <c r="C217" t="str">
        <f t="shared" si="11"/>
        <v>FFDFD3C0</v>
      </c>
      <c r="D217" t="s">
        <v>113</v>
      </c>
      <c r="E217">
        <v>7</v>
      </c>
      <c r="H217">
        <v>170</v>
      </c>
      <c r="I217" t="s">
        <v>114</v>
      </c>
      <c r="J217" t="s">
        <v>115</v>
      </c>
      <c r="K217">
        <v>0</v>
      </c>
      <c r="L217">
        <v>3</v>
      </c>
      <c r="M217">
        <v>0</v>
      </c>
      <c r="N217">
        <v>2</v>
      </c>
      <c r="O217">
        <v>1</v>
      </c>
      <c r="P217">
        <v>0</v>
      </c>
      <c r="Q217">
        <v>0</v>
      </c>
      <c r="S217" t="str">
        <f>"13:52:18.344"</f>
        <v>13:52:18.344</v>
      </c>
      <c r="T217" t="str">
        <f>"13:52:17.844"</f>
        <v>13:52:17.844</v>
      </c>
      <c r="U217" t="str">
        <f t="shared" si="13"/>
        <v>A92BC1</v>
      </c>
      <c r="V217">
        <v>0</v>
      </c>
      <c r="W217">
        <v>0</v>
      </c>
      <c r="X217">
        <v>2</v>
      </c>
      <c r="Z217">
        <v>0</v>
      </c>
      <c r="AA217">
        <v>9</v>
      </c>
      <c r="AB217">
        <v>3</v>
      </c>
      <c r="AC217">
        <v>0</v>
      </c>
      <c r="AD217">
        <v>10</v>
      </c>
      <c r="AE217">
        <v>0</v>
      </c>
      <c r="AF217">
        <v>3</v>
      </c>
      <c r="AG217">
        <v>2</v>
      </c>
      <c r="AH217">
        <v>0</v>
      </c>
      <c r="AI217" t="s">
        <v>318</v>
      </c>
      <c r="AJ217">
        <v>45.679371000000003</v>
      </c>
      <c r="AK217" t="s">
        <v>319</v>
      </c>
      <c r="AL217">
        <v>-89.470382000000001</v>
      </c>
      <c r="AM217">
        <v>100</v>
      </c>
      <c r="AN217">
        <v>5500</v>
      </c>
      <c r="AO217" t="s">
        <v>118</v>
      </c>
      <c r="AP217">
        <v>135</v>
      </c>
      <c r="AQ217">
        <v>89</v>
      </c>
      <c r="AR217">
        <v>2368</v>
      </c>
      <c r="AZ217">
        <v>1200</v>
      </c>
      <c r="BA217">
        <v>1</v>
      </c>
      <c r="BB217" t="str">
        <f t="shared" si="12"/>
        <v xml:space="preserve">N690LS  </v>
      </c>
      <c r="BC217">
        <v>1</v>
      </c>
      <c r="BE217">
        <v>0</v>
      </c>
      <c r="BF217">
        <v>0</v>
      </c>
      <c r="BG217">
        <v>0</v>
      </c>
      <c r="BH217">
        <v>5525</v>
      </c>
      <c r="BI217">
        <v>1</v>
      </c>
      <c r="BJ217">
        <v>1</v>
      </c>
      <c r="BK217">
        <v>1</v>
      </c>
      <c r="BL217">
        <v>0</v>
      </c>
      <c r="BO217">
        <v>0</v>
      </c>
      <c r="BP217">
        <v>0</v>
      </c>
      <c r="BW217" t="str">
        <f>"13:52:18.346"</f>
        <v>13:52:18.346</v>
      </c>
      <c r="CJ217">
        <v>0</v>
      </c>
      <c r="CK217">
        <v>2</v>
      </c>
      <c r="CL217">
        <v>0</v>
      </c>
      <c r="CM217">
        <v>2</v>
      </c>
      <c r="CN217">
        <v>0</v>
      </c>
      <c r="CO217">
        <v>7</v>
      </c>
      <c r="CP217" t="s">
        <v>119</v>
      </c>
      <c r="CQ217">
        <v>197</v>
      </c>
      <c r="CR217">
        <v>2</v>
      </c>
      <c r="CW217">
        <v>2188509</v>
      </c>
      <c r="CY217">
        <v>1</v>
      </c>
      <c r="CZ217">
        <v>0</v>
      </c>
      <c r="DA217">
        <v>0</v>
      </c>
      <c r="DB217">
        <v>0</v>
      </c>
      <c r="DC217">
        <v>0</v>
      </c>
      <c r="DD217">
        <v>0</v>
      </c>
      <c r="DE217">
        <v>0</v>
      </c>
      <c r="DF217">
        <v>0</v>
      </c>
      <c r="DG217">
        <v>0</v>
      </c>
      <c r="DH217">
        <v>0</v>
      </c>
      <c r="DI217">
        <v>0</v>
      </c>
    </row>
    <row r="218" spans="1:113" x14ac:dyDescent="0.3">
      <c r="A218" t="str">
        <f>"09/28/2021 13:52:18.573"</f>
        <v>09/28/2021 13:52:18.573</v>
      </c>
      <c r="C218" t="str">
        <f t="shared" si="11"/>
        <v>FFDFD3C0</v>
      </c>
      <c r="D218" t="s">
        <v>120</v>
      </c>
      <c r="E218">
        <v>12</v>
      </c>
      <c r="F218">
        <v>1012</v>
      </c>
      <c r="G218" t="s">
        <v>114</v>
      </c>
      <c r="J218" t="s">
        <v>121</v>
      </c>
      <c r="K218">
        <v>0</v>
      </c>
      <c r="L218">
        <v>3</v>
      </c>
      <c r="M218">
        <v>0</v>
      </c>
      <c r="N218">
        <v>2</v>
      </c>
      <c r="O218">
        <v>1</v>
      </c>
      <c r="P218">
        <v>0</v>
      </c>
      <c r="Q218">
        <v>0</v>
      </c>
      <c r="S218" t="str">
        <f>"13:52:18.344"</f>
        <v>13:52:18.344</v>
      </c>
      <c r="T218" t="str">
        <f>"13:52:17.844"</f>
        <v>13:52:17.844</v>
      </c>
      <c r="U218" t="str">
        <f t="shared" si="13"/>
        <v>A92BC1</v>
      </c>
      <c r="V218">
        <v>0</v>
      </c>
      <c r="W218">
        <v>0</v>
      </c>
      <c r="X218">
        <v>2</v>
      </c>
      <c r="Z218">
        <v>0</v>
      </c>
      <c r="AA218">
        <v>9</v>
      </c>
      <c r="AB218">
        <v>3</v>
      </c>
      <c r="AC218">
        <v>0</v>
      </c>
      <c r="AD218">
        <v>10</v>
      </c>
      <c r="AE218">
        <v>0</v>
      </c>
      <c r="AF218">
        <v>3</v>
      </c>
      <c r="AG218">
        <v>2</v>
      </c>
      <c r="AH218">
        <v>0</v>
      </c>
      <c r="AI218" t="s">
        <v>318</v>
      </c>
      <c r="AJ218">
        <v>45.679371000000003</v>
      </c>
      <c r="AK218" t="s">
        <v>319</v>
      </c>
      <c r="AL218">
        <v>-89.470382000000001</v>
      </c>
      <c r="AM218">
        <v>100</v>
      </c>
      <c r="AN218">
        <v>5500</v>
      </c>
      <c r="AO218" t="s">
        <v>118</v>
      </c>
      <c r="AP218">
        <v>135</v>
      </c>
      <c r="AQ218">
        <v>89</v>
      </c>
      <c r="AR218">
        <v>2368</v>
      </c>
      <c r="AZ218">
        <v>1200</v>
      </c>
      <c r="BA218">
        <v>1</v>
      </c>
      <c r="BB218" t="str">
        <f t="shared" si="12"/>
        <v xml:space="preserve">N690LS  </v>
      </c>
      <c r="BC218">
        <v>1</v>
      </c>
      <c r="BE218">
        <v>0</v>
      </c>
      <c r="BF218">
        <v>0</v>
      </c>
      <c r="BG218">
        <v>0</v>
      </c>
      <c r="BH218">
        <v>5525</v>
      </c>
      <c r="BI218">
        <v>1</v>
      </c>
      <c r="BJ218">
        <v>1</v>
      </c>
      <c r="BK218">
        <v>1</v>
      </c>
      <c r="BL218">
        <v>0</v>
      </c>
      <c r="BO218">
        <v>0</v>
      </c>
      <c r="BP218">
        <v>0</v>
      </c>
      <c r="BW218" t="str">
        <f>"13:52:18.346"</f>
        <v>13:52:18.346</v>
      </c>
      <c r="CJ218">
        <v>0</v>
      </c>
      <c r="CK218">
        <v>2</v>
      </c>
      <c r="CL218">
        <v>0</v>
      </c>
      <c r="CM218">
        <v>2</v>
      </c>
      <c r="CN218">
        <v>0</v>
      </c>
      <c r="CO218">
        <v>7</v>
      </c>
      <c r="CP218" t="s">
        <v>119</v>
      </c>
      <c r="CQ218">
        <v>197</v>
      </c>
      <c r="CR218">
        <v>2</v>
      </c>
      <c r="CW218">
        <v>2188509</v>
      </c>
      <c r="CY218">
        <v>1</v>
      </c>
      <c r="CZ218">
        <v>0</v>
      </c>
      <c r="DA218">
        <v>1</v>
      </c>
      <c r="DB218">
        <v>0</v>
      </c>
      <c r="DC218">
        <v>0</v>
      </c>
      <c r="DD218">
        <v>0</v>
      </c>
      <c r="DE218">
        <v>0</v>
      </c>
      <c r="DF218">
        <v>0</v>
      </c>
      <c r="DG218">
        <v>0</v>
      </c>
      <c r="DH218">
        <v>0</v>
      </c>
      <c r="DI218">
        <v>0</v>
      </c>
    </row>
    <row r="219" spans="1:113" x14ac:dyDescent="0.3">
      <c r="A219" t="str">
        <f>"09/28/2021 13:52:19.620"</f>
        <v>09/28/2021 13:52:19.620</v>
      </c>
      <c r="C219" t="str">
        <f t="shared" si="11"/>
        <v>FFDFD3C0</v>
      </c>
      <c r="D219" t="s">
        <v>120</v>
      </c>
      <c r="E219">
        <v>12</v>
      </c>
      <c r="F219">
        <v>1012</v>
      </c>
      <c r="G219" t="s">
        <v>114</v>
      </c>
      <c r="J219" t="s">
        <v>121</v>
      </c>
      <c r="K219">
        <v>0</v>
      </c>
      <c r="L219">
        <v>3</v>
      </c>
      <c r="M219">
        <v>0</v>
      </c>
      <c r="N219">
        <v>2</v>
      </c>
      <c r="O219">
        <v>1</v>
      </c>
      <c r="P219">
        <v>0</v>
      </c>
      <c r="Q219">
        <v>0</v>
      </c>
      <c r="S219" t="str">
        <f>"13:52:19.445"</f>
        <v>13:52:19.445</v>
      </c>
      <c r="T219" t="str">
        <f>"13:52:18.945"</f>
        <v>13:52:18.945</v>
      </c>
      <c r="U219" t="str">
        <f t="shared" si="13"/>
        <v>A92BC1</v>
      </c>
      <c r="V219">
        <v>0</v>
      </c>
      <c r="W219">
        <v>0</v>
      </c>
      <c r="X219">
        <v>2</v>
      </c>
      <c r="Z219">
        <v>0</v>
      </c>
      <c r="AA219">
        <v>9</v>
      </c>
      <c r="AB219">
        <v>3</v>
      </c>
      <c r="AC219">
        <v>0</v>
      </c>
      <c r="AD219">
        <v>10</v>
      </c>
      <c r="AE219">
        <v>0</v>
      </c>
      <c r="AF219">
        <v>3</v>
      </c>
      <c r="AG219">
        <v>2</v>
      </c>
      <c r="AH219">
        <v>0</v>
      </c>
      <c r="AI219" t="s">
        <v>320</v>
      </c>
      <c r="AJ219">
        <v>45.679842999999998</v>
      </c>
      <c r="AK219" t="s">
        <v>321</v>
      </c>
      <c r="AL219">
        <v>-89.469352000000001</v>
      </c>
      <c r="AM219">
        <v>100</v>
      </c>
      <c r="AN219">
        <v>5500</v>
      </c>
      <c r="AO219" t="s">
        <v>118</v>
      </c>
      <c r="AP219">
        <v>133</v>
      </c>
      <c r="AQ219">
        <v>91</v>
      </c>
      <c r="AR219">
        <v>2304</v>
      </c>
      <c r="AZ219">
        <v>1200</v>
      </c>
      <c r="BA219">
        <v>1</v>
      </c>
      <c r="BB219" t="str">
        <f t="shared" si="12"/>
        <v xml:space="preserve">N690LS  </v>
      </c>
      <c r="BC219">
        <v>1</v>
      </c>
      <c r="BE219">
        <v>0</v>
      </c>
      <c r="BF219">
        <v>0</v>
      </c>
      <c r="BG219">
        <v>0</v>
      </c>
      <c r="BH219">
        <v>5575</v>
      </c>
      <c r="BI219">
        <v>1</v>
      </c>
      <c r="BJ219">
        <v>1</v>
      </c>
      <c r="BK219">
        <v>1</v>
      </c>
      <c r="BL219">
        <v>0</v>
      </c>
      <c r="BO219">
        <v>0</v>
      </c>
      <c r="BP219">
        <v>0</v>
      </c>
      <c r="BW219" t="str">
        <f>"13:52:19.445"</f>
        <v>13:52:19.445</v>
      </c>
      <c r="CJ219">
        <v>0</v>
      </c>
      <c r="CK219">
        <v>2</v>
      </c>
      <c r="CL219">
        <v>0</v>
      </c>
      <c r="CM219">
        <v>2</v>
      </c>
      <c r="CN219">
        <v>0</v>
      </c>
      <c r="CO219">
        <v>6</v>
      </c>
      <c r="CP219" t="s">
        <v>119</v>
      </c>
      <c r="CQ219">
        <v>209</v>
      </c>
      <c r="CR219">
        <v>3</v>
      </c>
      <c r="CW219">
        <v>7145461</v>
      </c>
      <c r="CY219">
        <v>1</v>
      </c>
      <c r="CZ219">
        <v>0</v>
      </c>
      <c r="DA219">
        <v>0</v>
      </c>
      <c r="DB219">
        <v>0</v>
      </c>
      <c r="DC219">
        <v>0</v>
      </c>
      <c r="DD219">
        <v>0</v>
      </c>
      <c r="DE219">
        <v>0</v>
      </c>
      <c r="DF219">
        <v>0</v>
      </c>
      <c r="DG219">
        <v>0</v>
      </c>
      <c r="DH219">
        <v>0</v>
      </c>
      <c r="DI219">
        <v>0</v>
      </c>
    </row>
    <row r="220" spans="1:113" x14ac:dyDescent="0.3">
      <c r="A220" t="str">
        <f>"09/28/2021 13:52:19.635"</f>
        <v>09/28/2021 13:52:19.635</v>
      </c>
      <c r="C220" t="str">
        <f t="shared" si="11"/>
        <v>FFDFD3C0</v>
      </c>
      <c r="D220" t="s">
        <v>113</v>
      </c>
      <c r="E220">
        <v>7</v>
      </c>
      <c r="H220">
        <v>170</v>
      </c>
      <c r="I220" t="s">
        <v>114</v>
      </c>
      <c r="J220" t="s">
        <v>115</v>
      </c>
      <c r="K220">
        <v>0</v>
      </c>
      <c r="L220">
        <v>3</v>
      </c>
      <c r="M220">
        <v>0</v>
      </c>
      <c r="N220">
        <v>2</v>
      </c>
      <c r="O220">
        <v>1</v>
      </c>
      <c r="P220">
        <v>0</v>
      </c>
      <c r="Q220">
        <v>0</v>
      </c>
      <c r="S220" t="str">
        <f>"13:52:19.445"</f>
        <v>13:52:19.445</v>
      </c>
      <c r="T220" t="str">
        <f>"13:52:18.945"</f>
        <v>13:52:18.945</v>
      </c>
      <c r="U220" t="str">
        <f t="shared" si="13"/>
        <v>A92BC1</v>
      </c>
      <c r="V220">
        <v>0</v>
      </c>
      <c r="W220">
        <v>0</v>
      </c>
      <c r="X220">
        <v>2</v>
      </c>
      <c r="Z220">
        <v>0</v>
      </c>
      <c r="AA220">
        <v>9</v>
      </c>
      <c r="AB220">
        <v>3</v>
      </c>
      <c r="AC220">
        <v>0</v>
      </c>
      <c r="AD220">
        <v>10</v>
      </c>
      <c r="AE220">
        <v>0</v>
      </c>
      <c r="AF220">
        <v>3</v>
      </c>
      <c r="AG220">
        <v>2</v>
      </c>
      <c r="AH220">
        <v>0</v>
      </c>
      <c r="AI220" t="s">
        <v>320</v>
      </c>
      <c r="AJ220">
        <v>45.679842999999998</v>
      </c>
      <c r="AK220" t="s">
        <v>321</v>
      </c>
      <c r="AL220">
        <v>-89.469352000000001</v>
      </c>
      <c r="AM220">
        <v>100</v>
      </c>
      <c r="AN220">
        <v>5500</v>
      </c>
      <c r="AO220" t="s">
        <v>118</v>
      </c>
      <c r="AP220">
        <v>133</v>
      </c>
      <c r="AQ220">
        <v>91</v>
      </c>
      <c r="AR220">
        <v>2304</v>
      </c>
      <c r="AZ220">
        <v>1200</v>
      </c>
      <c r="BA220">
        <v>1</v>
      </c>
      <c r="BB220" t="str">
        <f t="shared" si="12"/>
        <v xml:space="preserve">N690LS  </v>
      </c>
      <c r="BC220">
        <v>1</v>
      </c>
      <c r="BE220">
        <v>0</v>
      </c>
      <c r="BF220">
        <v>0</v>
      </c>
      <c r="BG220">
        <v>0</v>
      </c>
      <c r="BH220">
        <v>5575</v>
      </c>
      <c r="BI220">
        <v>1</v>
      </c>
      <c r="BJ220">
        <v>1</v>
      </c>
      <c r="BK220">
        <v>1</v>
      </c>
      <c r="BL220">
        <v>0</v>
      </c>
      <c r="BO220">
        <v>0</v>
      </c>
      <c r="BP220">
        <v>0</v>
      </c>
      <c r="BW220" t="str">
        <f>"13:52:19.445"</f>
        <v>13:52:19.445</v>
      </c>
      <c r="CJ220">
        <v>0</v>
      </c>
      <c r="CK220">
        <v>2</v>
      </c>
      <c r="CL220">
        <v>0</v>
      </c>
      <c r="CM220">
        <v>2</v>
      </c>
      <c r="CN220">
        <v>0</v>
      </c>
      <c r="CO220">
        <v>6</v>
      </c>
      <c r="CP220" t="s">
        <v>119</v>
      </c>
      <c r="CQ220">
        <v>209</v>
      </c>
      <c r="CR220">
        <v>3</v>
      </c>
      <c r="CW220">
        <v>7145461</v>
      </c>
      <c r="CY220">
        <v>1</v>
      </c>
      <c r="CZ220">
        <v>0</v>
      </c>
      <c r="DA220">
        <v>1</v>
      </c>
      <c r="DB220">
        <v>0</v>
      </c>
      <c r="DC220">
        <v>0</v>
      </c>
      <c r="DD220">
        <v>0</v>
      </c>
      <c r="DE220">
        <v>0</v>
      </c>
      <c r="DF220">
        <v>0</v>
      </c>
      <c r="DG220">
        <v>0</v>
      </c>
      <c r="DH220">
        <v>0</v>
      </c>
      <c r="DI220">
        <v>0</v>
      </c>
    </row>
    <row r="221" spans="1:113" x14ac:dyDescent="0.3">
      <c r="A221" t="str">
        <f>"09/28/2021 13:52:20.620"</f>
        <v>09/28/2021 13:52:20.620</v>
      </c>
      <c r="C221" t="str">
        <f t="shared" si="11"/>
        <v>FFDFD3C0</v>
      </c>
      <c r="D221" t="s">
        <v>120</v>
      </c>
      <c r="E221">
        <v>12</v>
      </c>
      <c r="F221">
        <v>1012</v>
      </c>
      <c r="G221" t="s">
        <v>114</v>
      </c>
      <c r="J221" t="s">
        <v>121</v>
      </c>
      <c r="K221">
        <v>0</v>
      </c>
      <c r="L221">
        <v>3</v>
      </c>
      <c r="M221">
        <v>0</v>
      </c>
      <c r="N221">
        <v>2</v>
      </c>
      <c r="O221">
        <v>1</v>
      </c>
      <c r="P221">
        <v>0</v>
      </c>
      <c r="Q221">
        <v>0</v>
      </c>
      <c r="S221" t="str">
        <f>"13:52:20.398"</f>
        <v>13:52:20.398</v>
      </c>
      <c r="T221" t="str">
        <f>"13:52:19.898"</f>
        <v>13:52:19.898</v>
      </c>
      <c r="U221" t="str">
        <f t="shared" si="13"/>
        <v>A92BC1</v>
      </c>
      <c r="V221">
        <v>0</v>
      </c>
      <c r="W221">
        <v>0</v>
      </c>
      <c r="X221">
        <v>2</v>
      </c>
      <c r="Z221">
        <v>0</v>
      </c>
      <c r="AA221">
        <v>9</v>
      </c>
      <c r="AB221">
        <v>3</v>
      </c>
      <c r="AC221">
        <v>0</v>
      </c>
      <c r="AD221">
        <v>10</v>
      </c>
      <c r="AE221">
        <v>0</v>
      </c>
      <c r="AF221">
        <v>3</v>
      </c>
      <c r="AG221">
        <v>2</v>
      </c>
      <c r="AH221">
        <v>0</v>
      </c>
      <c r="AI221" t="s">
        <v>322</v>
      </c>
      <c r="AJ221">
        <v>45.680230000000002</v>
      </c>
      <c r="AK221" t="s">
        <v>323</v>
      </c>
      <c r="AL221">
        <v>-89.468579000000005</v>
      </c>
      <c r="AM221">
        <v>100</v>
      </c>
      <c r="AN221">
        <v>5500</v>
      </c>
      <c r="AO221" t="s">
        <v>118</v>
      </c>
      <c r="AP221">
        <v>132</v>
      </c>
      <c r="AQ221">
        <v>92</v>
      </c>
      <c r="AR221">
        <v>2304</v>
      </c>
      <c r="AZ221">
        <v>1200</v>
      </c>
      <c r="BA221">
        <v>1</v>
      </c>
      <c r="BB221" t="str">
        <f t="shared" si="12"/>
        <v xml:space="preserve">N690LS  </v>
      </c>
      <c r="BC221">
        <v>1</v>
      </c>
      <c r="BE221">
        <v>0</v>
      </c>
      <c r="BF221">
        <v>0</v>
      </c>
      <c r="BG221">
        <v>0</v>
      </c>
      <c r="BH221">
        <v>5625</v>
      </c>
      <c r="BI221">
        <v>1</v>
      </c>
      <c r="BJ221">
        <v>1</v>
      </c>
      <c r="BK221">
        <v>1</v>
      </c>
      <c r="BL221">
        <v>0</v>
      </c>
      <c r="BO221">
        <v>0</v>
      </c>
      <c r="BP221">
        <v>0</v>
      </c>
      <c r="BW221" t="str">
        <f>"13:52:20.402"</f>
        <v>13:52:20.402</v>
      </c>
      <c r="CJ221">
        <v>0</v>
      </c>
      <c r="CK221">
        <v>2</v>
      </c>
      <c r="CL221">
        <v>0</v>
      </c>
      <c r="CM221">
        <v>2</v>
      </c>
      <c r="CN221">
        <v>0</v>
      </c>
      <c r="CO221">
        <v>6</v>
      </c>
      <c r="CP221" t="s">
        <v>119</v>
      </c>
      <c r="CQ221">
        <v>209</v>
      </c>
      <c r="CR221">
        <v>3</v>
      </c>
      <c r="CW221">
        <v>7145756</v>
      </c>
      <c r="CY221">
        <v>1</v>
      </c>
      <c r="CZ221">
        <v>0</v>
      </c>
      <c r="DA221">
        <v>0</v>
      </c>
      <c r="DB221">
        <v>0</v>
      </c>
      <c r="DC221">
        <v>0</v>
      </c>
      <c r="DD221">
        <v>0</v>
      </c>
      <c r="DE221">
        <v>0</v>
      </c>
      <c r="DF221">
        <v>0</v>
      </c>
      <c r="DG221">
        <v>0</v>
      </c>
      <c r="DH221">
        <v>0</v>
      </c>
      <c r="DI221">
        <v>0</v>
      </c>
    </row>
    <row r="222" spans="1:113" x14ac:dyDescent="0.3">
      <c r="A222" t="str">
        <f>"09/28/2021 13:52:20.620"</f>
        <v>09/28/2021 13:52:20.620</v>
      </c>
      <c r="C222" t="str">
        <f t="shared" si="11"/>
        <v>FFDFD3C0</v>
      </c>
      <c r="D222" t="s">
        <v>113</v>
      </c>
      <c r="E222">
        <v>7</v>
      </c>
      <c r="H222">
        <v>170</v>
      </c>
      <c r="I222" t="s">
        <v>114</v>
      </c>
      <c r="J222" t="s">
        <v>115</v>
      </c>
      <c r="K222">
        <v>0</v>
      </c>
      <c r="L222">
        <v>3</v>
      </c>
      <c r="M222">
        <v>0</v>
      </c>
      <c r="N222">
        <v>2</v>
      </c>
      <c r="O222">
        <v>1</v>
      </c>
      <c r="P222">
        <v>0</v>
      </c>
      <c r="Q222">
        <v>0</v>
      </c>
      <c r="S222" t="str">
        <f>"13:52:20.398"</f>
        <v>13:52:20.398</v>
      </c>
      <c r="T222" t="str">
        <f>"13:52:19.898"</f>
        <v>13:52:19.898</v>
      </c>
      <c r="U222" t="str">
        <f t="shared" si="13"/>
        <v>A92BC1</v>
      </c>
      <c r="V222">
        <v>0</v>
      </c>
      <c r="W222">
        <v>0</v>
      </c>
      <c r="X222">
        <v>2</v>
      </c>
      <c r="Z222">
        <v>0</v>
      </c>
      <c r="AA222">
        <v>9</v>
      </c>
      <c r="AB222">
        <v>3</v>
      </c>
      <c r="AC222">
        <v>0</v>
      </c>
      <c r="AD222">
        <v>10</v>
      </c>
      <c r="AE222">
        <v>0</v>
      </c>
      <c r="AF222">
        <v>3</v>
      </c>
      <c r="AG222">
        <v>2</v>
      </c>
      <c r="AH222">
        <v>0</v>
      </c>
      <c r="AI222" t="s">
        <v>322</v>
      </c>
      <c r="AJ222">
        <v>45.680230000000002</v>
      </c>
      <c r="AK222" t="s">
        <v>323</v>
      </c>
      <c r="AL222">
        <v>-89.468579000000005</v>
      </c>
      <c r="AM222">
        <v>100</v>
      </c>
      <c r="AN222">
        <v>5500</v>
      </c>
      <c r="AO222" t="s">
        <v>118</v>
      </c>
      <c r="AP222">
        <v>132</v>
      </c>
      <c r="AQ222">
        <v>92</v>
      </c>
      <c r="AR222">
        <v>2304</v>
      </c>
      <c r="AZ222">
        <v>1200</v>
      </c>
      <c r="BA222">
        <v>1</v>
      </c>
      <c r="BB222" t="str">
        <f t="shared" si="12"/>
        <v xml:space="preserve">N690LS  </v>
      </c>
      <c r="BC222">
        <v>1</v>
      </c>
      <c r="BE222">
        <v>0</v>
      </c>
      <c r="BF222">
        <v>0</v>
      </c>
      <c r="BG222">
        <v>0</v>
      </c>
      <c r="BH222">
        <v>5625</v>
      </c>
      <c r="BI222">
        <v>1</v>
      </c>
      <c r="BJ222">
        <v>1</v>
      </c>
      <c r="BK222">
        <v>1</v>
      </c>
      <c r="BL222">
        <v>0</v>
      </c>
      <c r="BO222">
        <v>0</v>
      </c>
      <c r="BP222">
        <v>0</v>
      </c>
      <c r="BW222" t="str">
        <f>"13:52:20.402"</f>
        <v>13:52:20.402</v>
      </c>
      <c r="CJ222">
        <v>0</v>
      </c>
      <c r="CK222">
        <v>2</v>
      </c>
      <c r="CL222">
        <v>0</v>
      </c>
      <c r="CM222">
        <v>2</v>
      </c>
      <c r="CN222">
        <v>0</v>
      </c>
      <c r="CO222">
        <v>6</v>
      </c>
      <c r="CP222" t="s">
        <v>119</v>
      </c>
      <c r="CQ222">
        <v>209</v>
      </c>
      <c r="CR222">
        <v>3</v>
      </c>
      <c r="CW222">
        <v>7145756</v>
      </c>
      <c r="CY222">
        <v>1</v>
      </c>
      <c r="CZ222">
        <v>0</v>
      </c>
      <c r="DA222">
        <v>1</v>
      </c>
      <c r="DB222">
        <v>0</v>
      </c>
      <c r="DC222">
        <v>0</v>
      </c>
      <c r="DD222">
        <v>0</v>
      </c>
      <c r="DE222">
        <v>0</v>
      </c>
      <c r="DF222">
        <v>0</v>
      </c>
      <c r="DG222">
        <v>0</v>
      </c>
      <c r="DH222">
        <v>0</v>
      </c>
      <c r="DI222">
        <v>0</v>
      </c>
    </row>
    <row r="223" spans="1:113" x14ac:dyDescent="0.3">
      <c r="A223" t="str">
        <f>"09/28/2021 13:52:21.712"</f>
        <v>09/28/2021 13:52:21.712</v>
      </c>
      <c r="C223" t="str">
        <f t="shared" si="11"/>
        <v>FFDFD3C0</v>
      </c>
      <c r="D223" t="s">
        <v>120</v>
      </c>
      <c r="E223">
        <v>12</v>
      </c>
      <c r="F223">
        <v>1012</v>
      </c>
      <c r="G223" t="s">
        <v>114</v>
      </c>
      <c r="J223" t="s">
        <v>121</v>
      </c>
      <c r="K223">
        <v>0</v>
      </c>
      <c r="L223">
        <v>3</v>
      </c>
      <c r="M223">
        <v>0</v>
      </c>
      <c r="N223">
        <v>2</v>
      </c>
      <c r="O223">
        <v>1</v>
      </c>
      <c r="P223">
        <v>0</v>
      </c>
      <c r="Q223">
        <v>0</v>
      </c>
      <c r="S223" t="str">
        <f>"13:52:21.484"</f>
        <v>13:52:21.484</v>
      </c>
      <c r="T223" t="str">
        <f>"13:52:20.984"</f>
        <v>13:52:20.984</v>
      </c>
      <c r="U223" t="str">
        <f t="shared" si="13"/>
        <v>A92BC1</v>
      </c>
      <c r="V223">
        <v>0</v>
      </c>
      <c r="W223">
        <v>0</v>
      </c>
      <c r="X223">
        <v>2</v>
      </c>
      <c r="Z223">
        <v>0</v>
      </c>
      <c r="AA223">
        <v>9</v>
      </c>
      <c r="AB223">
        <v>3</v>
      </c>
      <c r="AC223">
        <v>0</v>
      </c>
      <c r="AD223">
        <v>10</v>
      </c>
      <c r="AE223">
        <v>0</v>
      </c>
      <c r="AF223">
        <v>3</v>
      </c>
      <c r="AG223">
        <v>2</v>
      </c>
      <c r="AH223">
        <v>0</v>
      </c>
      <c r="AI223" t="s">
        <v>324</v>
      </c>
      <c r="AJ223">
        <v>45.680680000000002</v>
      </c>
      <c r="AK223" t="s">
        <v>325</v>
      </c>
      <c r="AL223">
        <v>-89.467635000000001</v>
      </c>
      <c r="AM223">
        <v>100</v>
      </c>
      <c r="AN223">
        <v>5600</v>
      </c>
      <c r="AO223" t="s">
        <v>118</v>
      </c>
      <c r="AP223">
        <v>131</v>
      </c>
      <c r="AQ223">
        <v>93</v>
      </c>
      <c r="AR223">
        <v>2240</v>
      </c>
      <c r="AZ223">
        <v>1200</v>
      </c>
      <c r="BA223">
        <v>1</v>
      </c>
      <c r="BB223" t="str">
        <f t="shared" si="12"/>
        <v xml:space="preserve">N690LS  </v>
      </c>
      <c r="BC223">
        <v>1</v>
      </c>
      <c r="BE223">
        <v>0</v>
      </c>
      <c r="BF223">
        <v>0</v>
      </c>
      <c r="BG223">
        <v>0</v>
      </c>
      <c r="BH223">
        <v>5650</v>
      </c>
      <c r="BI223">
        <v>1</v>
      </c>
      <c r="BJ223">
        <v>1</v>
      </c>
      <c r="BK223">
        <v>1</v>
      </c>
      <c r="BL223">
        <v>0</v>
      </c>
      <c r="BO223">
        <v>0</v>
      </c>
      <c r="BP223">
        <v>0</v>
      </c>
      <c r="BW223" t="str">
        <f>"13:52:21.488"</f>
        <v>13:52:21.488</v>
      </c>
      <c r="CJ223">
        <v>0</v>
      </c>
      <c r="CK223">
        <v>2</v>
      </c>
      <c r="CL223">
        <v>0</v>
      </c>
      <c r="CM223">
        <v>2</v>
      </c>
      <c r="CN223">
        <v>0</v>
      </c>
      <c r="CO223">
        <v>7</v>
      </c>
      <c r="CP223" t="s">
        <v>119</v>
      </c>
      <c r="CQ223">
        <v>197</v>
      </c>
      <c r="CR223">
        <v>2</v>
      </c>
      <c r="CW223">
        <v>2191265</v>
      </c>
      <c r="CY223">
        <v>1</v>
      </c>
      <c r="CZ223">
        <v>0</v>
      </c>
      <c r="DA223">
        <v>0</v>
      </c>
      <c r="DB223">
        <v>0</v>
      </c>
      <c r="DC223">
        <v>0</v>
      </c>
      <c r="DD223">
        <v>0</v>
      </c>
      <c r="DE223">
        <v>0</v>
      </c>
      <c r="DF223">
        <v>0</v>
      </c>
      <c r="DG223">
        <v>0</v>
      </c>
      <c r="DH223">
        <v>0</v>
      </c>
      <c r="DI223">
        <v>0</v>
      </c>
    </row>
    <row r="224" spans="1:113" x14ac:dyDescent="0.3">
      <c r="A224" t="str">
        <f>"09/28/2021 13:52:21.712"</f>
        <v>09/28/2021 13:52:21.712</v>
      </c>
      <c r="C224" t="str">
        <f t="shared" si="11"/>
        <v>FFDFD3C0</v>
      </c>
      <c r="D224" t="s">
        <v>113</v>
      </c>
      <c r="E224">
        <v>7</v>
      </c>
      <c r="H224">
        <v>170</v>
      </c>
      <c r="I224" t="s">
        <v>114</v>
      </c>
      <c r="J224" t="s">
        <v>115</v>
      </c>
      <c r="K224">
        <v>0</v>
      </c>
      <c r="L224">
        <v>3</v>
      </c>
      <c r="M224">
        <v>0</v>
      </c>
      <c r="N224">
        <v>2</v>
      </c>
      <c r="O224">
        <v>1</v>
      </c>
      <c r="P224">
        <v>0</v>
      </c>
      <c r="Q224">
        <v>0</v>
      </c>
      <c r="S224" t="str">
        <f>"13:52:21.484"</f>
        <v>13:52:21.484</v>
      </c>
      <c r="T224" t="str">
        <f>"13:52:20.984"</f>
        <v>13:52:20.984</v>
      </c>
      <c r="U224" t="str">
        <f t="shared" si="13"/>
        <v>A92BC1</v>
      </c>
      <c r="V224">
        <v>0</v>
      </c>
      <c r="W224">
        <v>0</v>
      </c>
      <c r="X224">
        <v>2</v>
      </c>
      <c r="Z224">
        <v>0</v>
      </c>
      <c r="AA224">
        <v>9</v>
      </c>
      <c r="AB224">
        <v>3</v>
      </c>
      <c r="AC224">
        <v>0</v>
      </c>
      <c r="AD224">
        <v>10</v>
      </c>
      <c r="AE224">
        <v>0</v>
      </c>
      <c r="AF224">
        <v>3</v>
      </c>
      <c r="AG224">
        <v>2</v>
      </c>
      <c r="AH224">
        <v>0</v>
      </c>
      <c r="AI224" t="s">
        <v>324</v>
      </c>
      <c r="AJ224">
        <v>45.680680000000002</v>
      </c>
      <c r="AK224" t="s">
        <v>325</v>
      </c>
      <c r="AL224">
        <v>-89.467635000000001</v>
      </c>
      <c r="AM224">
        <v>100</v>
      </c>
      <c r="AN224">
        <v>5600</v>
      </c>
      <c r="AO224" t="s">
        <v>118</v>
      </c>
      <c r="AP224">
        <v>131</v>
      </c>
      <c r="AQ224">
        <v>93</v>
      </c>
      <c r="AR224">
        <v>2240</v>
      </c>
      <c r="AZ224">
        <v>1200</v>
      </c>
      <c r="BA224">
        <v>1</v>
      </c>
      <c r="BB224" t="str">
        <f t="shared" si="12"/>
        <v xml:space="preserve">N690LS  </v>
      </c>
      <c r="BC224">
        <v>1</v>
      </c>
      <c r="BE224">
        <v>0</v>
      </c>
      <c r="BF224">
        <v>0</v>
      </c>
      <c r="BG224">
        <v>0</v>
      </c>
      <c r="BH224">
        <v>5650</v>
      </c>
      <c r="BI224">
        <v>1</v>
      </c>
      <c r="BJ224">
        <v>1</v>
      </c>
      <c r="BK224">
        <v>1</v>
      </c>
      <c r="BL224">
        <v>0</v>
      </c>
      <c r="BO224">
        <v>0</v>
      </c>
      <c r="BP224">
        <v>0</v>
      </c>
      <c r="BW224" t="str">
        <f>"13:52:21.488"</f>
        <v>13:52:21.488</v>
      </c>
      <c r="CJ224">
        <v>0</v>
      </c>
      <c r="CK224">
        <v>2</v>
      </c>
      <c r="CL224">
        <v>0</v>
      </c>
      <c r="CM224">
        <v>2</v>
      </c>
      <c r="CN224">
        <v>0</v>
      </c>
      <c r="CO224">
        <v>7</v>
      </c>
      <c r="CP224" t="s">
        <v>119</v>
      </c>
      <c r="CQ224">
        <v>197</v>
      </c>
      <c r="CR224">
        <v>2</v>
      </c>
      <c r="CW224">
        <v>2191265</v>
      </c>
      <c r="CY224">
        <v>1</v>
      </c>
      <c r="CZ224">
        <v>0</v>
      </c>
      <c r="DA224">
        <v>1</v>
      </c>
      <c r="DB224">
        <v>0</v>
      </c>
      <c r="DC224">
        <v>0</v>
      </c>
      <c r="DD224">
        <v>0</v>
      </c>
      <c r="DE224">
        <v>0</v>
      </c>
      <c r="DF224">
        <v>0</v>
      </c>
      <c r="DG224">
        <v>0</v>
      </c>
      <c r="DH224">
        <v>0</v>
      </c>
      <c r="DI224">
        <v>0</v>
      </c>
    </row>
    <row r="225" spans="1:113" x14ac:dyDescent="0.3">
      <c r="A225" t="str">
        <f>"09/28/2021 13:52:22.759"</f>
        <v>09/28/2021 13:52:22.759</v>
      </c>
      <c r="C225" t="str">
        <f t="shared" si="11"/>
        <v>FFDFD3C0</v>
      </c>
      <c r="D225" t="s">
        <v>120</v>
      </c>
      <c r="E225">
        <v>12</v>
      </c>
      <c r="F225">
        <v>1012</v>
      </c>
      <c r="G225" t="s">
        <v>114</v>
      </c>
      <c r="J225" t="s">
        <v>121</v>
      </c>
      <c r="K225">
        <v>0</v>
      </c>
      <c r="L225">
        <v>3</v>
      </c>
      <c r="M225">
        <v>0</v>
      </c>
      <c r="N225">
        <v>2</v>
      </c>
      <c r="O225">
        <v>1</v>
      </c>
      <c r="P225">
        <v>0</v>
      </c>
      <c r="Q225">
        <v>0</v>
      </c>
      <c r="S225" t="str">
        <f>"13:52:22.563"</f>
        <v>13:52:22.563</v>
      </c>
      <c r="T225" t="str">
        <f>"13:52:22.063"</f>
        <v>13:52:22.063</v>
      </c>
      <c r="U225" t="str">
        <f t="shared" si="13"/>
        <v>A92BC1</v>
      </c>
      <c r="V225">
        <v>0</v>
      </c>
      <c r="W225">
        <v>0</v>
      </c>
      <c r="X225">
        <v>2</v>
      </c>
      <c r="Z225">
        <v>0</v>
      </c>
      <c r="AA225">
        <v>9</v>
      </c>
      <c r="AB225">
        <v>3</v>
      </c>
      <c r="AC225">
        <v>0</v>
      </c>
      <c r="AD225">
        <v>10</v>
      </c>
      <c r="AE225">
        <v>0</v>
      </c>
      <c r="AF225">
        <v>3</v>
      </c>
      <c r="AG225">
        <v>2</v>
      </c>
      <c r="AH225">
        <v>0</v>
      </c>
      <c r="AI225" t="s">
        <v>326</v>
      </c>
      <c r="AJ225">
        <v>45.681151999999997</v>
      </c>
      <c r="AK225" t="s">
        <v>327</v>
      </c>
      <c r="AL225">
        <v>-89.466690999999997</v>
      </c>
      <c r="AM225">
        <v>100</v>
      </c>
      <c r="AN225">
        <v>5600</v>
      </c>
      <c r="AO225" t="s">
        <v>118</v>
      </c>
      <c r="AP225">
        <v>130</v>
      </c>
      <c r="AQ225">
        <v>94</v>
      </c>
      <c r="AR225">
        <v>2240</v>
      </c>
      <c r="AZ225">
        <v>1200</v>
      </c>
      <c r="BA225">
        <v>1</v>
      </c>
      <c r="BB225" t="str">
        <f t="shared" si="12"/>
        <v xml:space="preserve">N690LS  </v>
      </c>
      <c r="BC225">
        <v>1</v>
      </c>
      <c r="BE225">
        <v>0</v>
      </c>
      <c r="BF225">
        <v>0</v>
      </c>
      <c r="BG225">
        <v>0</v>
      </c>
      <c r="BH225">
        <v>5700</v>
      </c>
      <c r="BI225">
        <v>1</v>
      </c>
      <c r="BJ225">
        <v>1</v>
      </c>
      <c r="BK225">
        <v>1</v>
      </c>
      <c r="BL225">
        <v>0</v>
      </c>
      <c r="BO225">
        <v>0</v>
      </c>
      <c r="BP225">
        <v>0</v>
      </c>
      <c r="BW225" t="str">
        <f>"13:52:22.563"</f>
        <v>13:52:22.563</v>
      </c>
      <c r="CJ225">
        <v>0</v>
      </c>
      <c r="CK225">
        <v>2</v>
      </c>
      <c r="CL225">
        <v>0</v>
      </c>
      <c r="CM225">
        <v>2</v>
      </c>
      <c r="CN225">
        <v>0</v>
      </c>
      <c r="CO225">
        <v>6</v>
      </c>
      <c r="CP225" t="s">
        <v>119</v>
      </c>
      <c r="CQ225">
        <v>209</v>
      </c>
      <c r="CR225">
        <v>3</v>
      </c>
      <c r="CW225">
        <v>7146444</v>
      </c>
      <c r="CY225">
        <v>1</v>
      </c>
      <c r="CZ225">
        <v>0</v>
      </c>
      <c r="DA225">
        <v>0</v>
      </c>
      <c r="DB225">
        <v>0</v>
      </c>
      <c r="DC225">
        <v>0</v>
      </c>
      <c r="DD225">
        <v>0</v>
      </c>
      <c r="DE225">
        <v>0</v>
      </c>
      <c r="DF225">
        <v>0</v>
      </c>
      <c r="DG225">
        <v>0</v>
      </c>
      <c r="DH225">
        <v>0</v>
      </c>
      <c r="DI225">
        <v>0</v>
      </c>
    </row>
    <row r="226" spans="1:113" x14ac:dyDescent="0.3">
      <c r="A226" t="str">
        <f>"09/28/2021 13:52:22.822"</f>
        <v>09/28/2021 13:52:22.822</v>
      </c>
      <c r="C226" t="str">
        <f t="shared" si="11"/>
        <v>FFDFD3C0</v>
      </c>
      <c r="D226" t="s">
        <v>113</v>
      </c>
      <c r="E226">
        <v>7</v>
      </c>
      <c r="H226">
        <v>170</v>
      </c>
      <c r="I226" t="s">
        <v>114</v>
      </c>
      <c r="J226" t="s">
        <v>115</v>
      </c>
      <c r="K226">
        <v>0</v>
      </c>
      <c r="L226">
        <v>3</v>
      </c>
      <c r="M226">
        <v>0</v>
      </c>
      <c r="N226">
        <v>2</v>
      </c>
      <c r="O226">
        <v>1</v>
      </c>
      <c r="P226">
        <v>0</v>
      </c>
      <c r="Q226">
        <v>0</v>
      </c>
      <c r="S226" t="str">
        <f>"13:52:22.563"</f>
        <v>13:52:22.563</v>
      </c>
      <c r="T226" t="str">
        <f>"13:52:22.063"</f>
        <v>13:52:22.063</v>
      </c>
      <c r="U226" t="str">
        <f t="shared" si="13"/>
        <v>A92BC1</v>
      </c>
      <c r="V226">
        <v>0</v>
      </c>
      <c r="W226">
        <v>0</v>
      </c>
      <c r="X226">
        <v>2</v>
      </c>
      <c r="Z226">
        <v>0</v>
      </c>
      <c r="AA226">
        <v>9</v>
      </c>
      <c r="AB226">
        <v>3</v>
      </c>
      <c r="AC226">
        <v>0</v>
      </c>
      <c r="AD226">
        <v>10</v>
      </c>
      <c r="AE226">
        <v>0</v>
      </c>
      <c r="AF226">
        <v>3</v>
      </c>
      <c r="AG226">
        <v>2</v>
      </c>
      <c r="AH226">
        <v>0</v>
      </c>
      <c r="AI226" t="s">
        <v>326</v>
      </c>
      <c r="AJ226">
        <v>45.681151999999997</v>
      </c>
      <c r="AK226" t="s">
        <v>327</v>
      </c>
      <c r="AL226">
        <v>-89.466690999999997</v>
      </c>
      <c r="AM226">
        <v>100</v>
      </c>
      <c r="AN226">
        <v>5600</v>
      </c>
      <c r="AO226" t="s">
        <v>118</v>
      </c>
      <c r="AP226">
        <v>130</v>
      </c>
      <c r="AQ226">
        <v>94</v>
      </c>
      <c r="AR226">
        <v>2240</v>
      </c>
      <c r="AZ226">
        <v>1200</v>
      </c>
      <c r="BA226">
        <v>1</v>
      </c>
      <c r="BB226" t="str">
        <f t="shared" si="12"/>
        <v xml:space="preserve">N690LS  </v>
      </c>
      <c r="BC226">
        <v>1</v>
      </c>
      <c r="BE226">
        <v>0</v>
      </c>
      <c r="BF226">
        <v>0</v>
      </c>
      <c r="BG226">
        <v>0</v>
      </c>
      <c r="BH226">
        <v>5700</v>
      </c>
      <c r="BI226">
        <v>1</v>
      </c>
      <c r="BJ226">
        <v>1</v>
      </c>
      <c r="BK226">
        <v>1</v>
      </c>
      <c r="BL226">
        <v>0</v>
      </c>
      <c r="BO226">
        <v>0</v>
      </c>
      <c r="BP226">
        <v>0</v>
      </c>
      <c r="BW226" t="str">
        <f>"13:52:22.563"</f>
        <v>13:52:22.563</v>
      </c>
      <c r="CJ226">
        <v>0</v>
      </c>
      <c r="CK226">
        <v>2</v>
      </c>
      <c r="CL226">
        <v>0</v>
      </c>
      <c r="CM226">
        <v>2</v>
      </c>
      <c r="CN226">
        <v>0</v>
      </c>
      <c r="CO226">
        <v>6</v>
      </c>
      <c r="CP226" t="s">
        <v>119</v>
      </c>
      <c r="CQ226">
        <v>209</v>
      </c>
      <c r="CR226">
        <v>3</v>
      </c>
      <c r="CW226">
        <v>7146444</v>
      </c>
      <c r="CY226">
        <v>1</v>
      </c>
      <c r="CZ226">
        <v>0</v>
      </c>
      <c r="DA226">
        <v>1</v>
      </c>
      <c r="DB226">
        <v>0</v>
      </c>
      <c r="DC226">
        <v>0</v>
      </c>
      <c r="DD226">
        <v>0</v>
      </c>
      <c r="DE226">
        <v>0</v>
      </c>
      <c r="DF226">
        <v>0</v>
      </c>
      <c r="DG226">
        <v>0</v>
      </c>
      <c r="DH226">
        <v>0</v>
      </c>
      <c r="DI226">
        <v>0</v>
      </c>
    </row>
    <row r="227" spans="1:113" x14ac:dyDescent="0.3">
      <c r="A227" t="str">
        <f>"09/28/2021 13:52:23.901"</f>
        <v>09/28/2021 13:52:23.901</v>
      </c>
      <c r="C227" t="str">
        <f t="shared" si="11"/>
        <v>FFDFD3C0</v>
      </c>
      <c r="D227" t="s">
        <v>113</v>
      </c>
      <c r="E227">
        <v>7</v>
      </c>
      <c r="H227">
        <v>170</v>
      </c>
      <c r="I227" t="s">
        <v>114</v>
      </c>
      <c r="J227" t="s">
        <v>115</v>
      </c>
      <c r="K227">
        <v>0</v>
      </c>
      <c r="L227">
        <v>3</v>
      </c>
      <c r="M227">
        <v>0</v>
      </c>
      <c r="N227">
        <v>2</v>
      </c>
      <c r="O227">
        <v>1</v>
      </c>
      <c r="P227">
        <v>0</v>
      </c>
      <c r="Q227">
        <v>0</v>
      </c>
      <c r="S227" t="str">
        <f>"13:52:23.688"</f>
        <v>13:52:23.688</v>
      </c>
      <c r="T227" t="str">
        <f>"13:52:23.188"</f>
        <v>13:52:23.188</v>
      </c>
      <c r="U227" t="str">
        <f t="shared" si="13"/>
        <v>A92BC1</v>
      </c>
      <c r="V227">
        <v>0</v>
      </c>
      <c r="W227">
        <v>0</v>
      </c>
      <c r="X227">
        <v>2</v>
      </c>
      <c r="Z227">
        <v>0</v>
      </c>
      <c r="AA227">
        <v>9</v>
      </c>
      <c r="AB227">
        <v>3</v>
      </c>
      <c r="AC227">
        <v>0</v>
      </c>
      <c r="AD227">
        <v>10</v>
      </c>
      <c r="AE227">
        <v>0</v>
      </c>
      <c r="AF227">
        <v>3</v>
      </c>
      <c r="AG227">
        <v>2</v>
      </c>
      <c r="AH227">
        <v>0</v>
      </c>
      <c r="AI227" t="s">
        <v>328</v>
      </c>
      <c r="AJ227">
        <v>45.681666999999997</v>
      </c>
      <c r="AK227" t="s">
        <v>329</v>
      </c>
      <c r="AL227">
        <v>-89.465789999999998</v>
      </c>
      <c r="AM227">
        <v>100</v>
      </c>
      <c r="AN227">
        <v>5700</v>
      </c>
      <c r="AO227" t="s">
        <v>118</v>
      </c>
      <c r="AP227">
        <v>129</v>
      </c>
      <c r="AQ227">
        <v>95</v>
      </c>
      <c r="AR227">
        <v>2240</v>
      </c>
      <c r="AZ227">
        <v>1200</v>
      </c>
      <c r="BA227">
        <v>1</v>
      </c>
      <c r="BB227" t="str">
        <f t="shared" si="12"/>
        <v xml:space="preserve">N690LS  </v>
      </c>
      <c r="BC227">
        <v>1</v>
      </c>
      <c r="BE227">
        <v>0</v>
      </c>
      <c r="BF227">
        <v>0</v>
      </c>
      <c r="BG227">
        <v>0</v>
      </c>
      <c r="BH227">
        <v>5750</v>
      </c>
      <c r="BI227">
        <v>1</v>
      </c>
      <c r="BJ227">
        <v>1</v>
      </c>
      <c r="BK227">
        <v>1</v>
      </c>
      <c r="BL227">
        <v>0</v>
      </c>
      <c r="BO227">
        <v>0</v>
      </c>
      <c r="BP227">
        <v>0</v>
      </c>
      <c r="BW227" t="str">
        <f>"13:52:23.689"</f>
        <v>13:52:23.689</v>
      </c>
      <c r="CJ227">
        <v>0</v>
      </c>
      <c r="CK227">
        <v>2</v>
      </c>
      <c r="CL227">
        <v>0</v>
      </c>
      <c r="CM227">
        <v>2</v>
      </c>
      <c r="CN227">
        <v>0</v>
      </c>
      <c r="CO227">
        <v>6</v>
      </c>
      <c r="CP227" t="s">
        <v>119</v>
      </c>
      <c r="CQ227">
        <v>209</v>
      </c>
      <c r="CR227">
        <v>3</v>
      </c>
      <c r="CW227">
        <v>7146798</v>
      </c>
      <c r="CY227">
        <v>1</v>
      </c>
      <c r="CZ227">
        <v>0</v>
      </c>
      <c r="DA227">
        <v>0</v>
      </c>
      <c r="DB227">
        <v>0</v>
      </c>
      <c r="DC227">
        <v>0</v>
      </c>
      <c r="DD227">
        <v>0</v>
      </c>
      <c r="DE227">
        <v>0</v>
      </c>
      <c r="DF227">
        <v>0</v>
      </c>
      <c r="DG227">
        <v>0</v>
      </c>
      <c r="DH227">
        <v>0</v>
      </c>
      <c r="DI227">
        <v>0</v>
      </c>
    </row>
    <row r="228" spans="1:113" x14ac:dyDescent="0.3">
      <c r="A228" t="str">
        <f>"09/28/2021 13:52:23.932"</f>
        <v>09/28/2021 13:52:23.932</v>
      </c>
      <c r="C228" t="str">
        <f t="shared" si="11"/>
        <v>FFDFD3C0</v>
      </c>
      <c r="D228" t="s">
        <v>120</v>
      </c>
      <c r="E228">
        <v>12</v>
      </c>
      <c r="F228">
        <v>1012</v>
      </c>
      <c r="G228" t="s">
        <v>114</v>
      </c>
      <c r="J228" t="s">
        <v>121</v>
      </c>
      <c r="K228">
        <v>0</v>
      </c>
      <c r="L228">
        <v>3</v>
      </c>
      <c r="M228">
        <v>0</v>
      </c>
      <c r="N228">
        <v>2</v>
      </c>
      <c r="O228">
        <v>1</v>
      </c>
      <c r="P228">
        <v>0</v>
      </c>
      <c r="Q228">
        <v>0</v>
      </c>
      <c r="S228" t="str">
        <f>"13:52:23.688"</f>
        <v>13:52:23.688</v>
      </c>
      <c r="T228" t="str">
        <f>"13:52:23.188"</f>
        <v>13:52:23.188</v>
      </c>
      <c r="U228" t="str">
        <f t="shared" si="13"/>
        <v>A92BC1</v>
      </c>
      <c r="V228">
        <v>0</v>
      </c>
      <c r="W228">
        <v>0</v>
      </c>
      <c r="X228">
        <v>2</v>
      </c>
      <c r="Z228">
        <v>0</v>
      </c>
      <c r="AA228">
        <v>9</v>
      </c>
      <c r="AB228">
        <v>3</v>
      </c>
      <c r="AC228">
        <v>0</v>
      </c>
      <c r="AD228">
        <v>10</v>
      </c>
      <c r="AE228">
        <v>0</v>
      </c>
      <c r="AF228">
        <v>3</v>
      </c>
      <c r="AG228">
        <v>2</v>
      </c>
      <c r="AH228">
        <v>0</v>
      </c>
      <c r="AI228" t="s">
        <v>328</v>
      </c>
      <c r="AJ228">
        <v>45.681666999999997</v>
      </c>
      <c r="AK228" t="s">
        <v>329</v>
      </c>
      <c r="AL228">
        <v>-89.465789999999998</v>
      </c>
      <c r="AM228">
        <v>100</v>
      </c>
      <c r="AN228">
        <v>5700</v>
      </c>
      <c r="AO228" t="s">
        <v>118</v>
      </c>
      <c r="AP228">
        <v>129</v>
      </c>
      <c r="AQ228">
        <v>95</v>
      </c>
      <c r="AR228">
        <v>2240</v>
      </c>
      <c r="AZ228">
        <v>1200</v>
      </c>
      <c r="BA228">
        <v>1</v>
      </c>
      <c r="BB228" t="str">
        <f t="shared" si="12"/>
        <v xml:space="preserve">N690LS  </v>
      </c>
      <c r="BC228">
        <v>1</v>
      </c>
      <c r="BE228">
        <v>0</v>
      </c>
      <c r="BF228">
        <v>0</v>
      </c>
      <c r="BG228">
        <v>0</v>
      </c>
      <c r="BH228">
        <v>5750</v>
      </c>
      <c r="BI228">
        <v>1</v>
      </c>
      <c r="BJ228">
        <v>1</v>
      </c>
      <c r="BK228">
        <v>1</v>
      </c>
      <c r="BL228">
        <v>0</v>
      </c>
      <c r="BO228">
        <v>0</v>
      </c>
      <c r="BP228">
        <v>0</v>
      </c>
      <c r="BW228" t="str">
        <f>"13:52:23.689"</f>
        <v>13:52:23.689</v>
      </c>
      <c r="CJ228">
        <v>0</v>
      </c>
      <c r="CK228">
        <v>2</v>
      </c>
      <c r="CL228">
        <v>0</v>
      </c>
      <c r="CM228">
        <v>2</v>
      </c>
      <c r="CN228">
        <v>0</v>
      </c>
      <c r="CO228">
        <v>6</v>
      </c>
      <c r="CP228" t="s">
        <v>119</v>
      </c>
      <c r="CQ228">
        <v>209</v>
      </c>
      <c r="CR228">
        <v>3</v>
      </c>
      <c r="CW228">
        <v>7146798</v>
      </c>
      <c r="CY228">
        <v>1</v>
      </c>
      <c r="CZ228">
        <v>0</v>
      </c>
      <c r="DA228">
        <v>1</v>
      </c>
      <c r="DB228">
        <v>0</v>
      </c>
      <c r="DC228">
        <v>0</v>
      </c>
      <c r="DD228">
        <v>0</v>
      </c>
      <c r="DE228">
        <v>0</v>
      </c>
      <c r="DF228">
        <v>0</v>
      </c>
      <c r="DG228">
        <v>0</v>
      </c>
      <c r="DH228">
        <v>0</v>
      </c>
      <c r="DI228">
        <v>0</v>
      </c>
    </row>
    <row r="229" spans="1:113" x14ac:dyDescent="0.3">
      <c r="A229" t="str">
        <f>"09/28/2021 13:52:24.932"</f>
        <v>09/28/2021 13:52:24.932</v>
      </c>
      <c r="C229" t="str">
        <f t="shared" si="11"/>
        <v>FFDFD3C0</v>
      </c>
      <c r="D229" t="s">
        <v>120</v>
      </c>
      <c r="E229">
        <v>12</v>
      </c>
      <c r="F229">
        <v>1012</v>
      </c>
      <c r="G229" t="s">
        <v>114</v>
      </c>
      <c r="J229" t="s">
        <v>121</v>
      </c>
      <c r="K229">
        <v>0</v>
      </c>
      <c r="L229">
        <v>3</v>
      </c>
      <c r="M229">
        <v>0</v>
      </c>
      <c r="N229">
        <v>2</v>
      </c>
      <c r="O229">
        <v>1</v>
      </c>
      <c r="P229">
        <v>0</v>
      </c>
      <c r="Q229">
        <v>0</v>
      </c>
      <c r="S229" t="str">
        <f>"13:52:24.656"</f>
        <v>13:52:24.656</v>
      </c>
      <c r="T229" t="str">
        <f>"13:52:24.256"</f>
        <v>13:52:24.256</v>
      </c>
      <c r="U229" t="str">
        <f t="shared" si="13"/>
        <v>A92BC1</v>
      </c>
      <c r="V229">
        <v>0</v>
      </c>
      <c r="W229">
        <v>0</v>
      </c>
      <c r="X229">
        <v>2</v>
      </c>
      <c r="Z229">
        <v>0</v>
      </c>
      <c r="AA229">
        <v>9</v>
      </c>
      <c r="AB229">
        <v>3</v>
      </c>
      <c r="AC229">
        <v>0</v>
      </c>
      <c r="AD229">
        <v>10</v>
      </c>
      <c r="AE229">
        <v>0</v>
      </c>
      <c r="AF229">
        <v>3</v>
      </c>
      <c r="AG229">
        <v>2</v>
      </c>
      <c r="AH229">
        <v>0</v>
      </c>
      <c r="AI229" t="s">
        <v>330</v>
      </c>
      <c r="AJ229">
        <v>45.682074999999998</v>
      </c>
      <c r="AK229" t="s">
        <v>331</v>
      </c>
      <c r="AL229">
        <v>-89.464973999999998</v>
      </c>
      <c r="AM229">
        <v>100</v>
      </c>
      <c r="AN229">
        <v>5700</v>
      </c>
      <c r="AO229" t="s">
        <v>118</v>
      </c>
      <c r="AP229">
        <v>128</v>
      </c>
      <c r="AQ229">
        <v>96</v>
      </c>
      <c r="AR229">
        <v>2240</v>
      </c>
      <c r="AZ229">
        <v>1200</v>
      </c>
      <c r="BA229">
        <v>1</v>
      </c>
      <c r="BB229" t="str">
        <f t="shared" si="12"/>
        <v xml:space="preserve">N690LS  </v>
      </c>
      <c r="BC229">
        <v>1</v>
      </c>
      <c r="BE229">
        <v>0</v>
      </c>
      <c r="BF229">
        <v>0</v>
      </c>
      <c r="BG229">
        <v>0</v>
      </c>
      <c r="BH229">
        <v>5775</v>
      </c>
      <c r="BI229">
        <v>1</v>
      </c>
      <c r="BJ229">
        <v>1</v>
      </c>
      <c r="BK229">
        <v>1</v>
      </c>
      <c r="BL229">
        <v>0</v>
      </c>
      <c r="BO229">
        <v>0</v>
      </c>
      <c r="BP229">
        <v>0</v>
      </c>
      <c r="BW229" t="str">
        <f>"13:52:24.657"</f>
        <v>13:52:24.657</v>
      </c>
      <c r="CJ229">
        <v>0</v>
      </c>
      <c r="CK229">
        <v>2</v>
      </c>
      <c r="CL229">
        <v>0</v>
      </c>
      <c r="CM229">
        <v>2</v>
      </c>
      <c r="CN229">
        <v>0</v>
      </c>
      <c r="CO229">
        <v>7</v>
      </c>
      <c r="CP229" t="s">
        <v>119</v>
      </c>
      <c r="CQ229">
        <v>197</v>
      </c>
      <c r="CR229">
        <v>2</v>
      </c>
      <c r="CW229">
        <v>2194187</v>
      </c>
      <c r="CY229">
        <v>1</v>
      </c>
      <c r="CZ229">
        <v>0</v>
      </c>
      <c r="DA229">
        <v>0</v>
      </c>
      <c r="DB229">
        <v>0</v>
      </c>
      <c r="DC229">
        <v>0</v>
      </c>
      <c r="DD229">
        <v>0</v>
      </c>
      <c r="DE229">
        <v>0</v>
      </c>
      <c r="DF229">
        <v>0</v>
      </c>
      <c r="DG229">
        <v>0</v>
      </c>
      <c r="DH229">
        <v>0</v>
      </c>
      <c r="DI229">
        <v>0</v>
      </c>
    </row>
    <row r="230" spans="1:113" x14ac:dyDescent="0.3">
      <c r="A230" t="str">
        <f>"09/28/2021 13:52:24.932"</f>
        <v>09/28/2021 13:52:24.932</v>
      </c>
      <c r="C230" t="str">
        <f t="shared" si="11"/>
        <v>FFDFD3C0</v>
      </c>
      <c r="D230" t="s">
        <v>113</v>
      </c>
      <c r="E230">
        <v>7</v>
      </c>
      <c r="H230">
        <v>170</v>
      </c>
      <c r="I230" t="s">
        <v>114</v>
      </c>
      <c r="J230" t="s">
        <v>115</v>
      </c>
      <c r="K230">
        <v>0</v>
      </c>
      <c r="L230">
        <v>3</v>
      </c>
      <c r="M230">
        <v>0</v>
      </c>
      <c r="N230">
        <v>2</v>
      </c>
      <c r="O230">
        <v>1</v>
      </c>
      <c r="P230">
        <v>0</v>
      </c>
      <c r="Q230">
        <v>0</v>
      </c>
      <c r="S230" t="str">
        <f>"13:52:24.656"</f>
        <v>13:52:24.656</v>
      </c>
      <c r="T230" t="str">
        <f>"13:52:24.256"</f>
        <v>13:52:24.256</v>
      </c>
      <c r="U230" t="str">
        <f t="shared" si="13"/>
        <v>A92BC1</v>
      </c>
      <c r="V230">
        <v>0</v>
      </c>
      <c r="W230">
        <v>0</v>
      </c>
      <c r="X230">
        <v>2</v>
      </c>
      <c r="Z230">
        <v>0</v>
      </c>
      <c r="AA230">
        <v>9</v>
      </c>
      <c r="AB230">
        <v>3</v>
      </c>
      <c r="AC230">
        <v>0</v>
      </c>
      <c r="AD230">
        <v>10</v>
      </c>
      <c r="AE230">
        <v>0</v>
      </c>
      <c r="AF230">
        <v>3</v>
      </c>
      <c r="AG230">
        <v>2</v>
      </c>
      <c r="AH230">
        <v>0</v>
      </c>
      <c r="AI230" t="s">
        <v>330</v>
      </c>
      <c r="AJ230">
        <v>45.682074999999998</v>
      </c>
      <c r="AK230" t="s">
        <v>331</v>
      </c>
      <c r="AL230">
        <v>-89.464973999999998</v>
      </c>
      <c r="AM230">
        <v>100</v>
      </c>
      <c r="AN230">
        <v>5700</v>
      </c>
      <c r="AO230" t="s">
        <v>118</v>
      </c>
      <c r="AP230">
        <v>128</v>
      </c>
      <c r="AQ230">
        <v>96</v>
      </c>
      <c r="AR230">
        <v>2240</v>
      </c>
      <c r="AZ230">
        <v>1200</v>
      </c>
      <c r="BA230">
        <v>1</v>
      </c>
      <c r="BB230" t="str">
        <f t="shared" si="12"/>
        <v xml:space="preserve">N690LS  </v>
      </c>
      <c r="BC230">
        <v>1</v>
      </c>
      <c r="BE230">
        <v>0</v>
      </c>
      <c r="BF230">
        <v>0</v>
      </c>
      <c r="BG230">
        <v>0</v>
      </c>
      <c r="BH230">
        <v>5775</v>
      </c>
      <c r="BI230">
        <v>1</v>
      </c>
      <c r="BJ230">
        <v>1</v>
      </c>
      <c r="BK230">
        <v>1</v>
      </c>
      <c r="BL230">
        <v>0</v>
      </c>
      <c r="BO230">
        <v>0</v>
      </c>
      <c r="BP230">
        <v>0</v>
      </c>
      <c r="BW230" t="str">
        <f>"13:52:24.657"</f>
        <v>13:52:24.657</v>
      </c>
      <c r="CJ230">
        <v>0</v>
      </c>
      <c r="CK230">
        <v>2</v>
      </c>
      <c r="CL230">
        <v>0</v>
      </c>
      <c r="CM230">
        <v>2</v>
      </c>
      <c r="CN230">
        <v>0</v>
      </c>
      <c r="CO230">
        <v>7</v>
      </c>
      <c r="CP230" t="s">
        <v>119</v>
      </c>
      <c r="CQ230">
        <v>197</v>
      </c>
      <c r="CR230">
        <v>2</v>
      </c>
      <c r="CW230">
        <v>2194187</v>
      </c>
      <c r="CY230">
        <v>1</v>
      </c>
      <c r="CZ230">
        <v>0</v>
      </c>
      <c r="DA230">
        <v>1</v>
      </c>
      <c r="DB230">
        <v>0</v>
      </c>
      <c r="DC230">
        <v>0</v>
      </c>
      <c r="DD230">
        <v>0</v>
      </c>
      <c r="DE230">
        <v>0</v>
      </c>
      <c r="DF230">
        <v>0</v>
      </c>
      <c r="DG230">
        <v>0</v>
      </c>
      <c r="DH230">
        <v>0</v>
      </c>
      <c r="DI230">
        <v>0</v>
      </c>
    </row>
    <row r="231" spans="1:113" x14ac:dyDescent="0.3">
      <c r="A231" t="str">
        <f>"09/28/2021 13:52:25.839"</f>
        <v>09/28/2021 13:52:25.839</v>
      </c>
      <c r="C231" t="str">
        <f t="shared" ref="C231:C294" si="14">"FFDFD3C0"</f>
        <v>FFDFD3C0</v>
      </c>
      <c r="D231" t="s">
        <v>120</v>
      </c>
      <c r="E231">
        <v>12</v>
      </c>
      <c r="F231">
        <v>1012</v>
      </c>
      <c r="G231" t="s">
        <v>114</v>
      </c>
      <c r="J231" t="s">
        <v>121</v>
      </c>
      <c r="K231">
        <v>0</v>
      </c>
      <c r="L231">
        <v>3</v>
      </c>
      <c r="M231">
        <v>0</v>
      </c>
      <c r="N231">
        <v>2</v>
      </c>
      <c r="O231">
        <v>1</v>
      </c>
      <c r="P231">
        <v>0</v>
      </c>
      <c r="Q231">
        <v>0</v>
      </c>
      <c r="S231" t="str">
        <f>"13:52:25.641"</f>
        <v>13:52:25.641</v>
      </c>
      <c r="T231" t="str">
        <f>"13:52:25.241"</f>
        <v>13:52:25.241</v>
      </c>
      <c r="U231" t="str">
        <f t="shared" si="13"/>
        <v>A92BC1</v>
      </c>
      <c r="V231">
        <v>0</v>
      </c>
      <c r="W231">
        <v>0</v>
      </c>
      <c r="X231">
        <v>2</v>
      </c>
      <c r="Z231">
        <v>0</v>
      </c>
      <c r="AA231">
        <v>9</v>
      </c>
      <c r="AB231">
        <v>3</v>
      </c>
      <c r="AC231">
        <v>0</v>
      </c>
      <c r="AD231">
        <v>10</v>
      </c>
      <c r="AE231">
        <v>0</v>
      </c>
      <c r="AF231">
        <v>3</v>
      </c>
      <c r="AG231">
        <v>2</v>
      </c>
      <c r="AH231">
        <v>0</v>
      </c>
      <c r="AI231" t="s">
        <v>332</v>
      </c>
      <c r="AJ231">
        <v>45.682547</v>
      </c>
      <c r="AK231" t="s">
        <v>333</v>
      </c>
      <c r="AL231">
        <v>-89.464072999999999</v>
      </c>
      <c r="AM231">
        <v>100</v>
      </c>
      <c r="AN231">
        <v>5700</v>
      </c>
      <c r="AO231" t="s">
        <v>118</v>
      </c>
      <c r="AP231">
        <v>127</v>
      </c>
      <c r="AQ231">
        <v>96</v>
      </c>
      <c r="AR231">
        <v>2240</v>
      </c>
      <c r="AZ231">
        <v>1200</v>
      </c>
      <c r="BA231">
        <v>1</v>
      </c>
      <c r="BB231" t="str">
        <f t="shared" ref="BB231:BB294" si="15">"N690LS  "</f>
        <v xml:space="preserve">N690LS  </v>
      </c>
      <c r="BC231">
        <v>1</v>
      </c>
      <c r="BE231">
        <v>0</v>
      </c>
      <c r="BF231">
        <v>0</v>
      </c>
      <c r="BG231">
        <v>0</v>
      </c>
      <c r="BH231">
        <v>5825</v>
      </c>
      <c r="BI231">
        <v>1</v>
      </c>
      <c r="BJ231">
        <v>1</v>
      </c>
      <c r="BK231">
        <v>1</v>
      </c>
      <c r="BL231">
        <v>0</v>
      </c>
      <c r="BO231">
        <v>0</v>
      </c>
      <c r="BP231">
        <v>0</v>
      </c>
      <c r="BW231" t="str">
        <f>"13:52:25.642"</f>
        <v>13:52:25.642</v>
      </c>
      <c r="CJ231">
        <v>0</v>
      </c>
      <c r="CK231">
        <v>2</v>
      </c>
      <c r="CL231">
        <v>0</v>
      </c>
      <c r="CM231">
        <v>2</v>
      </c>
      <c r="CN231">
        <v>0</v>
      </c>
      <c r="CO231">
        <v>6</v>
      </c>
      <c r="CP231" t="s">
        <v>119</v>
      </c>
      <c r="CQ231">
        <v>209</v>
      </c>
      <c r="CR231">
        <v>3</v>
      </c>
      <c r="CW231">
        <v>7147381</v>
      </c>
      <c r="CY231">
        <v>1</v>
      </c>
      <c r="CZ231">
        <v>0</v>
      </c>
      <c r="DA231">
        <v>0</v>
      </c>
      <c r="DB231">
        <v>0</v>
      </c>
      <c r="DC231">
        <v>0</v>
      </c>
      <c r="DD231">
        <v>0</v>
      </c>
      <c r="DE231">
        <v>0</v>
      </c>
      <c r="DF231">
        <v>0</v>
      </c>
      <c r="DG231">
        <v>0</v>
      </c>
      <c r="DH231">
        <v>0</v>
      </c>
      <c r="DI231">
        <v>0</v>
      </c>
    </row>
    <row r="232" spans="1:113" x14ac:dyDescent="0.3">
      <c r="A232" t="str">
        <f>"09/28/2021 13:52:25.870"</f>
        <v>09/28/2021 13:52:25.870</v>
      </c>
      <c r="C232" t="str">
        <f t="shared" si="14"/>
        <v>FFDFD3C0</v>
      </c>
      <c r="D232" t="s">
        <v>113</v>
      </c>
      <c r="E232">
        <v>7</v>
      </c>
      <c r="H232">
        <v>170</v>
      </c>
      <c r="I232" t="s">
        <v>114</v>
      </c>
      <c r="J232" t="s">
        <v>115</v>
      </c>
      <c r="K232">
        <v>0</v>
      </c>
      <c r="L232">
        <v>3</v>
      </c>
      <c r="M232">
        <v>0</v>
      </c>
      <c r="N232">
        <v>2</v>
      </c>
      <c r="O232">
        <v>1</v>
      </c>
      <c r="P232">
        <v>0</v>
      </c>
      <c r="Q232">
        <v>0</v>
      </c>
      <c r="S232" t="str">
        <f>"13:52:25.641"</f>
        <v>13:52:25.641</v>
      </c>
      <c r="T232" t="str">
        <f>"13:52:25.241"</f>
        <v>13:52:25.241</v>
      </c>
      <c r="U232" t="str">
        <f t="shared" si="13"/>
        <v>A92BC1</v>
      </c>
      <c r="V232">
        <v>0</v>
      </c>
      <c r="W232">
        <v>0</v>
      </c>
      <c r="X232">
        <v>2</v>
      </c>
      <c r="Z232">
        <v>0</v>
      </c>
      <c r="AA232">
        <v>9</v>
      </c>
      <c r="AB232">
        <v>3</v>
      </c>
      <c r="AC232">
        <v>0</v>
      </c>
      <c r="AD232">
        <v>10</v>
      </c>
      <c r="AE232">
        <v>0</v>
      </c>
      <c r="AF232">
        <v>3</v>
      </c>
      <c r="AG232">
        <v>2</v>
      </c>
      <c r="AH232">
        <v>0</v>
      </c>
      <c r="AI232" t="s">
        <v>332</v>
      </c>
      <c r="AJ232">
        <v>45.682547</v>
      </c>
      <c r="AK232" t="s">
        <v>333</v>
      </c>
      <c r="AL232">
        <v>-89.464072999999999</v>
      </c>
      <c r="AM232">
        <v>100</v>
      </c>
      <c r="AN232">
        <v>5700</v>
      </c>
      <c r="AO232" t="s">
        <v>118</v>
      </c>
      <c r="AP232">
        <v>127</v>
      </c>
      <c r="AQ232">
        <v>96</v>
      </c>
      <c r="AR232">
        <v>2240</v>
      </c>
      <c r="AZ232">
        <v>1200</v>
      </c>
      <c r="BA232">
        <v>1</v>
      </c>
      <c r="BB232" t="str">
        <f t="shared" si="15"/>
        <v xml:space="preserve">N690LS  </v>
      </c>
      <c r="BC232">
        <v>1</v>
      </c>
      <c r="BE232">
        <v>0</v>
      </c>
      <c r="BF232">
        <v>0</v>
      </c>
      <c r="BG232">
        <v>0</v>
      </c>
      <c r="BH232">
        <v>5825</v>
      </c>
      <c r="BI232">
        <v>1</v>
      </c>
      <c r="BJ232">
        <v>1</v>
      </c>
      <c r="BK232">
        <v>1</v>
      </c>
      <c r="BL232">
        <v>0</v>
      </c>
      <c r="BO232">
        <v>0</v>
      </c>
      <c r="BP232">
        <v>0</v>
      </c>
      <c r="BW232" t="str">
        <f>"13:52:25.642"</f>
        <v>13:52:25.642</v>
      </c>
      <c r="CJ232">
        <v>0</v>
      </c>
      <c r="CK232">
        <v>2</v>
      </c>
      <c r="CL232">
        <v>0</v>
      </c>
      <c r="CM232">
        <v>2</v>
      </c>
      <c r="CN232">
        <v>0</v>
      </c>
      <c r="CO232">
        <v>6</v>
      </c>
      <c r="CP232" t="s">
        <v>119</v>
      </c>
      <c r="CQ232">
        <v>209</v>
      </c>
      <c r="CR232">
        <v>3</v>
      </c>
      <c r="CW232">
        <v>7147381</v>
      </c>
      <c r="CY232">
        <v>1</v>
      </c>
      <c r="CZ232">
        <v>0</v>
      </c>
      <c r="DA232">
        <v>1</v>
      </c>
      <c r="DB232">
        <v>0</v>
      </c>
      <c r="DC232">
        <v>0</v>
      </c>
      <c r="DD232">
        <v>0</v>
      </c>
      <c r="DE232">
        <v>0</v>
      </c>
      <c r="DF232">
        <v>0</v>
      </c>
      <c r="DG232">
        <v>0</v>
      </c>
      <c r="DH232">
        <v>0</v>
      </c>
      <c r="DI232">
        <v>0</v>
      </c>
    </row>
    <row r="233" spans="1:113" x14ac:dyDescent="0.3">
      <c r="A233" t="str">
        <f>"09/28/2021 13:52:26.900"</f>
        <v>09/28/2021 13:52:26.900</v>
      </c>
      <c r="C233" t="str">
        <f t="shared" si="14"/>
        <v>FFDFD3C0</v>
      </c>
      <c r="D233" t="s">
        <v>120</v>
      </c>
      <c r="E233">
        <v>12</v>
      </c>
      <c r="F233">
        <v>1012</v>
      </c>
      <c r="G233" t="s">
        <v>114</v>
      </c>
      <c r="J233" t="s">
        <v>121</v>
      </c>
      <c r="K233">
        <v>0</v>
      </c>
      <c r="L233">
        <v>3</v>
      </c>
      <c r="M233">
        <v>0</v>
      </c>
      <c r="N233">
        <v>2</v>
      </c>
      <c r="O233">
        <v>1</v>
      </c>
      <c r="P233">
        <v>0</v>
      </c>
      <c r="Q233">
        <v>0</v>
      </c>
      <c r="S233" t="str">
        <f>"13:52:26.688"</f>
        <v>13:52:26.688</v>
      </c>
      <c r="T233" t="str">
        <f>"13:52:26.188"</f>
        <v>13:52:26.188</v>
      </c>
      <c r="U233" t="str">
        <f t="shared" si="13"/>
        <v>A92BC1</v>
      </c>
      <c r="V233">
        <v>0</v>
      </c>
      <c r="W233">
        <v>0</v>
      </c>
      <c r="X233">
        <v>2</v>
      </c>
      <c r="Z233">
        <v>0</v>
      </c>
      <c r="AA233">
        <v>9</v>
      </c>
      <c r="AB233">
        <v>3</v>
      </c>
      <c r="AC233">
        <v>0</v>
      </c>
      <c r="AD233">
        <v>10</v>
      </c>
      <c r="AE233">
        <v>0</v>
      </c>
      <c r="AF233">
        <v>3</v>
      </c>
      <c r="AG233">
        <v>2</v>
      </c>
      <c r="AH233">
        <v>0</v>
      </c>
      <c r="AI233" t="s">
        <v>334</v>
      </c>
      <c r="AJ233">
        <v>45.683019000000002</v>
      </c>
      <c r="AK233" t="s">
        <v>335</v>
      </c>
      <c r="AL233">
        <v>-89.463257999999996</v>
      </c>
      <c r="AM233">
        <v>100</v>
      </c>
      <c r="AN233">
        <v>5800</v>
      </c>
      <c r="AO233" t="s">
        <v>118</v>
      </c>
      <c r="AP233">
        <v>127</v>
      </c>
      <c r="AQ233">
        <v>97</v>
      </c>
      <c r="AR233">
        <v>2304</v>
      </c>
      <c r="AZ233">
        <v>1200</v>
      </c>
      <c r="BA233">
        <v>1</v>
      </c>
      <c r="BB233" t="str">
        <f t="shared" si="15"/>
        <v xml:space="preserve">N690LS  </v>
      </c>
      <c r="BC233">
        <v>1</v>
      </c>
      <c r="BE233">
        <v>0</v>
      </c>
      <c r="BF233">
        <v>0</v>
      </c>
      <c r="BG233">
        <v>0</v>
      </c>
      <c r="BH233">
        <v>5850</v>
      </c>
      <c r="BI233">
        <v>1</v>
      </c>
      <c r="BJ233">
        <v>1</v>
      </c>
      <c r="BK233">
        <v>1</v>
      </c>
      <c r="BL233">
        <v>0</v>
      </c>
      <c r="BO233">
        <v>0</v>
      </c>
      <c r="BP233">
        <v>0</v>
      </c>
      <c r="BW233" t="str">
        <f>"13:52:26.694"</f>
        <v>13:52:26.694</v>
      </c>
      <c r="CJ233">
        <v>0</v>
      </c>
      <c r="CK233">
        <v>2</v>
      </c>
      <c r="CL233">
        <v>0</v>
      </c>
      <c r="CM233">
        <v>2</v>
      </c>
      <c r="CN233">
        <v>0</v>
      </c>
      <c r="CO233">
        <v>5</v>
      </c>
      <c r="CP233" t="s">
        <v>119</v>
      </c>
      <c r="CQ233">
        <v>209</v>
      </c>
      <c r="CR233">
        <v>3</v>
      </c>
      <c r="CW233">
        <v>7147695</v>
      </c>
      <c r="CY233">
        <v>1</v>
      </c>
      <c r="CZ233">
        <v>0</v>
      </c>
      <c r="DA233">
        <v>0</v>
      </c>
      <c r="DB233">
        <v>0</v>
      </c>
      <c r="DC233">
        <v>0</v>
      </c>
      <c r="DD233">
        <v>0</v>
      </c>
      <c r="DE233">
        <v>0</v>
      </c>
      <c r="DF233">
        <v>0</v>
      </c>
      <c r="DG233">
        <v>0</v>
      </c>
      <c r="DH233">
        <v>0</v>
      </c>
      <c r="DI233">
        <v>0</v>
      </c>
    </row>
    <row r="234" spans="1:113" x14ac:dyDescent="0.3">
      <c r="A234" t="str">
        <f>"09/28/2021 13:52:26.931"</f>
        <v>09/28/2021 13:52:26.931</v>
      </c>
      <c r="C234" t="str">
        <f t="shared" si="14"/>
        <v>FFDFD3C0</v>
      </c>
      <c r="D234" t="s">
        <v>113</v>
      </c>
      <c r="E234">
        <v>7</v>
      </c>
      <c r="H234">
        <v>170</v>
      </c>
      <c r="I234" t="s">
        <v>114</v>
      </c>
      <c r="J234" t="s">
        <v>115</v>
      </c>
      <c r="K234">
        <v>0</v>
      </c>
      <c r="L234">
        <v>3</v>
      </c>
      <c r="M234">
        <v>0</v>
      </c>
      <c r="N234">
        <v>2</v>
      </c>
      <c r="O234">
        <v>1</v>
      </c>
      <c r="P234">
        <v>0</v>
      </c>
      <c r="Q234">
        <v>0</v>
      </c>
      <c r="S234" t="str">
        <f>"13:52:26.688"</f>
        <v>13:52:26.688</v>
      </c>
      <c r="T234" t="str">
        <f>"13:52:26.188"</f>
        <v>13:52:26.188</v>
      </c>
      <c r="U234" t="str">
        <f t="shared" si="13"/>
        <v>A92BC1</v>
      </c>
      <c r="V234">
        <v>0</v>
      </c>
      <c r="W234">
        <v>0</v>
      </c>
      <c r="X234">
        <v>2</v>
      </c>
      <c r="Z234">
        <v>0</v>
      </c>
      <c r="AA234">
        <v>9</v>
      </c>
      <c r="AB234">
        <v>3</v>
      </c>
      <c r="AC234">
        <v>0</v>
      </c>
      <c r="AD234">
        <v>10</v>
      </c>
      <c r="AE234">
        <v>0</v>
      </c>
      <c r="AF234">
        <v>3</v>
      </c>
      <c r="AG234">
        <v>2</v>
      </c>
      <c r="AH234">
        <v>0</v>
      </c>
      <c r="AI234" t="s">
        <v>334</v>
      </c>
      <c r="AJ234">
        <v>45.683019000000002</v>
      </c>
      <c r="AK234" t="s">
        <v>335</v>
      </c>
      <c r="AL234">
        <v>-89.463257999999996</v>
      </c>
      <c r="AM234">
        <v>100</v>
      </c>
      <c r="AN234">
        <v>5800</v>
      </c>
      <c r="AO234" t="s">
        <v>118</v>
      </c>
      <c r="AP234">
        <v>127</v>
      </c>
      <c r="AQ234">
        <v>97</v>
      </c>
      <c r="AR234">
        <v>2304</v>
      </c>
      <c r="AZ234">
        <v>1200</v>
      </c>
      <c r="BA234">
        <v>1</v>
      </c>
      <c r="BB234" t="str">
        <f t="shared" si="15"/>
        <v xml:space="preserve">N690LS  </v>
      </c>
      <c r="BC234">
        <v>1</v>
      </c>
      <c r="BE234">
        <v>0</v>
      </c>
      <c r="BF234">
        <v>0</v>
      </c>
      <c r="BG234">
        <v>0</v>
      </c>
      <c r="BH234">
        <v>5850</v>
      </c>
      <c r="BI234">
        <v>1</v>
      </c>
      <c r="BJ234">
        <v>1</v>
      </c>
      <c r="BK234">
        <v>1</v>
      </c>
      <c r="BL234">
        <v>0</v>
      </c>
      <c r="BO234">
        <v>0</v>
      </c>
      <c r="BP234">
        <v>0</v>
      </c>
      <c r="BW234" t="str">
        <f>"13:52:26.694"</f>
        <v>13:52:26.694</v>
      </c>
      <c r="CJ234">
        <v>0</v>
      </c>
      <c r="CK234">
        <v>2</v>
      </c>
      <c r="CL234">
        <v>0</v>
      </c>
      <c r="CM234">
        <v>2</v>
      </c>
      <c r="CN234">
        <v>0</v>
      </c>
      <c r="CO234">
        <v>5</v>
      </c>
      <c r="CP234" t="s">
        <v>119</v>
      </c>
      <c r="CQ234">
        <v>209</v>
      </c>
      <c r="CR234">
        <v>3</v>
      </c>
      <c r="CW234">
        <v>7147695</v>
      </c>
      <c r="CY234">
        <v>1</v>
      </c>
      <c r="CZ234">
        <v>0</v>
      </c>
      <c r="DA234">
        <v>1</v>
      </c>
      <c r="DB234">
        <v>0</v>
      </c>
      <c r="DC234">
        <v>0</v>
      </c>
      <c r="DD234">
        <v>0</v>
      </c>
      <c r="DE234">
        <v>0</v>
      </c>
      <c r="DF234">
        <v>0</v>
      </c>
      <c r="DG234">
        <v>0</v>
      </c>
      <c r="DH234">
        <v>0</v>
      </c>
      <c r="DI234">
        <v>0</v>
      </c>
    </row>
    <row r="235" spans="1:113" x14ac:dyDescent="0.3">
      <c r="A235" t="str">
        <f>"09/28/2021 13:52:27.962"</f>
        <v>09/28/2021 13:52:27.962</v>
      </c>
      <c r="C235" t="str">
        <f t="shared" si="14"/>
        <v>FFDFD3C0</v>
      </c>
      <c r="D235" t="s">
        <v>113</v>
      </c>
      <c r="E235">
        <v>7</v>
      </c>
      <c r="H235">
        <v>170</v>
      </c>
      <c r="I235" t="s">
        <v>114</v>
      </c>
      <c r="J235" t="s">
        <v>115</v>
      </c>
      <c r="K235">
        <v>0</v>
      </c>
      <c r="L235">
        <v>3</v>
      </c>
      <c r="M235">
        <v>0</v>
      </c>
      <c r="N235">
        <v>2</v>
      </c>
      <c r="O235">
        <v>1</v>
      </c>
      <c r="P235">
        <v>0</v>
      </c>
      <c r="Q235">
        <v>0</v>
      </c>
      <c r="S235" t="str">
        <f>"13:52:27.727"</f>
        <v>13:52:27.727</v>
      </c>
      <c r="T235" t="str">
        <f>"13:52:27.227"</f>
        <v>13:52:27.227</v>
      </c>
      <c r="U235" t="str">
        <f t="shared" si="13"/>
        <v>A92BC1</v>
      </c>
      <c r="V235">
        <v>0</v>
      </c>
      <c r="W235">
        <v>0</v>
      </c>
      <c r="X235">
        <v>2</v>
      </c>
      <c r="Z235">
        <v>0</v>
      </c>
      <c r="AA235">
        <v>9</v>
      </c>
      <c r="AB235">
        <v>3</v>
      </c>
      <c r="AC235">
        <v>0</v>
      </c>
      <c r="AD235">
        <v>10</v>
      </c>
      <c r="AE235">
        <v>0</v>
      </c>
      <c r="AF235">
        <v>3</v>
      </c>
      <c r="AG235">
        <v>2</v>
      </c>
      <c r="AH235">
        <v>0</v>
      </c>
      <c r="AI235" t="s">
        <v>336</v>
      </c>
      <c r="AJ235">
        <v>45.683490999999997</v>
      </c>
      <c r="AK235" t="s">
        <v>337</v>
      </c>
      <c r="AL235">
        <v>-89.462334999999996</v>
      </c>
      <c r="AM235">
        <v>100</v>
      </c>
      <c r="AN235">
        <v>5800</v>
      </c>
      <c r="AO235" t="s">
        <v>118</v>
      </c>
      <c r="AP235">
        <v>126</v>
      </c>
      <c r="AQ235">
        <v>97</v>
      </c>
      <c r="AR235">
        <v>2304</v>
      </c>
      <c r="AZ235">
        <v>1200</v>
      </c>
      <c r="BA235">
        <v>1</v>
      </c>
      <c r="BB235" t="str">
        <f t="shared" si="15"/>
        <v xml:space="preserve">N690LS  </v>
      </c>
      <c r="BC235">
        <v>1</v>
      </c>
      <c r="BE235">
        <v>0</v>
      </c>
      <c r="BF235">
        <v>0</v>
      </c>
      <c r="BG235">
        <v>0</v>
      </c>
      <c r="BH235">
        <v>5900</v>
      </c>
      <c r="BI235">
        <v>1</v>
      </c>
      <c r="BJ235">
        <v>1</v>
      </c>
      <c r="BK235">
        <v>1</v>
      </c>
      <c r="BL235">
        <v>0</v>
      </c>
      <c r="BO235">
        <v>0</v>
      </c>
      <c r="BP235">
        <v>0</v>
      </c>
      <c r="BW235" t="str">
        <f>"13:52:27.731"</f>
        <v>13:52:27.731</v>
      </c>
      <c r="CJ235">
        <v>0</v>
      </c>
      <c r="CK235">
        <v>2</v>
      </c>
      <c r="CL235">
        <v>0</v>
      </c>
      <c r="CM235">
        <v>2</v>
      </c>
      <c r="CN235">
        <v>0</v>
      </c>
      <c r="CO235">
        <v>7</v>
      </c>
      <c r="CP235" t="s">
        <v>119</v>
      </c>
      <c r="CQ235">
        <v>197</v>
      </c>
      <c r="CR235">
        <v>2</v>
      </c>
      <c r="CW235">
        <v>2196984</v>
      </c>
      <c r="CY235">
        <v>1</v>
      </c>
      <c r="CZ235">
        <v>0</v>
      </c>
      <c r="DA235">
        <v>0</v>
      </c>
      <c r="DB235">
        <v>0</v>
      </c>
      <c r="DC235">
        <v>0</v>
      </c>
      <c r="DD235">
        <v>0</v>
      </c>
      <c r="DE235">
        <v>0</v>
      </c>
      <c r="DF235">
        <v>0</v>
      </c>
      <c r="DG235">
        <v>0</v>
      </c>
      <c r="DH235">
        <v>0</v>
      </c>
      <c r="DI235">
        <v>0</v>
      </c>
    </row>
    <row r="236" spans="1:113" x14ac:dyDescent="0.3">
      <c r="A236" t="str">
        <f>"09/28/2021 13:52:27.962"</f>
        <v>09/28/2021 13:52:27.962</v>
      </c>
      <c r="C236" t="str">
        <f t="shared" si="14"/>
        <v>FFDFD3C0</v>
      </c>
      <c r="D236" t="s">
        <v>120</v>
      </c>
      <c r="E236">
        <v>12</v>
      </c>
      <c r="F236">
        <v>1012</v>
      </c>
      <c r="G236" t="s">
        <v>114</v>
      </c>
      <c r="J236" t="s">
        <v>121</v>
      </c>
      <c r="K236">
        <v>0</v>
      </c>
      <c r="L236">
        <v>3</v>
      </c>
      <c r="M236">
        <v>0</v>
      </c>
      <c r="N236">
        <v>2</v>
      </c>
      <c r="O236">
        <v>1</v>
      </c>
      <c r="P236">
        <v>0</v>
      </c>
      <c r="Q236">
        <v>0</v>
      </c>
      <c r="S236" t="str">
        <f>"13:52:27.727"</f>
        <v>13:52:27.727</v>
      </c>
      <c r="T236" t="str">
        <f>"13:52:27.227"</f>
        <v>13:52:27.227</v>
      </c>
      <c r="U236" t="str">
        <f t="shared" si="13"/>
        <v>A92BC1</v>
      </c>
      <c r="V236">
        <v>0</v>
      </c>
      <c r="W236">
        <v>0</v>
      </c>
      <c r="X236">
        <v>2</v>
      </c>
      <c r="Z236">
        <v>0</v>
      </c>
      <c r="AA236">
        <v>9</v>
      </c>
      <c r="AB236">
        <v>3</v>
      </c>
      <c r="AC236">
        <v>0</v>
      </c>
      <c r="AD236">
        <v>10</v>
      </c>
      <c r="AE236">
        <v>0</v>
      </c>
      <c r="AF236">
        <v>3</v>
      </c>
      <c r="AG236">
        <v>2</v>
      </c>
      <c r="AH236">
        <v>0</v>
      </c>
      <c r="AI236" t="s">
        <v>336</v>
      </c>
      <c r="AJ236">
        <v>45.683490999999997</v>
      </c>
      <c r="AK236" t="s">
        <v>337</v>
      </c>
      <c r="AL236">
        <v>-89.462334999999996</v>
      </c>
      <c r="AM236">
        <v>100</v>
      </c>
      <c r="AN236">
        <v>5800</v>
      </c>
      <c r="AO236" t="s">
        <v>118</v>
      </c>
      <c r="AP236">
        <v>126</v>
      </c>
      <c r="AQ236">
        <v>97</v>
      </c>
      <c r="AR236">
        <v>2304</v>
      </c>
      <c r="AZ236">
        <v>1200</v>
      </c>
      <c r="BA236">
        <v>1</v>
      </c>
      <c r="BB236" t="str">
        <f t="shared" si="15"/>
        <v xml:space="preserve">N690LS  </v>
      </c>
      <c r="BC236">
        <v>1</v>
      </c>
      <c r="BE236">
        <v>0</v>
      </c>
      <c r="BF236">
        <v>0</v>
      </c>
      <c r="BG236">
        <v>0</v>
      </c>
      <c r="BH236">
        <v>5900</v>
      </c>
      <c r="BI236">
        <v>1</v>
      </c>
      <c r="BJ236">
        <v>1</v>
      </c>
      <c r="BK236">
        <v>1</v>
      </c>
      <c r="BL236">
        <v>0</v>
      </c>
      <c r="BO236">
        <v>0</v>
      </c>
      <c r="BP236">
        <v>0</v>
      </c>
      <c r="BW236" t="str">
        <f>"13:52:27.731"</f>
        <v>13:52:27.731</v>
      </c>
      <c r="CJ236">
        <v>0</v>
      </c>
      <c r="CK236">
        <v>2</v>
      </c>
      <c r="CL236">
        <v>0</v>
      </c>
      <c r="CM236">
        <v>2</v>
      </c>
      <c r="CN236">
        <v>0</v>
      </c>
      <c r="CO236">
        <v>7</v>
      </c>
      <c r="CP236" t="s">
        <v>119</v>
      </c>
      <c r="CQ236">
        <v>197</v>
      </c>
      <c r="CR236">
        <v>2</v>
      </c>
      <c r="CW236">
        <v>2196984</v>
      </c>
      <c r="CY236">
        <v>1</v>
      </c>
      <c r="CZ236">
        <v>0</v>
      </c>
      <c r="DA236">
        <v>1</v>
      </c>
      <c r="DB236">
        <v>0</v>
      </c>
      <c r="DC236">
        <v>0</v>
      </c>
      <c r="DD236">
        <v>0</v>
      </c>
      <c r="DE236">
        <v>0</v>
      </c>
      <c r="DF236">
        <v>0</v>
      </c>
      <c r="DG236">
        <v>0</v>
      </c>
      <c r="DH236">
        <v>0</v>
      </c>
      <c r="DI236">
        <v>0</v>
      </c>
    </row>
    <row r="237" spans="1:113" x14ac:dyDescent="0.3">
      <c r="A237" t="str">
        <f>"09/28/2021 13:52:28.908"</f>
        <v>09/28/2021 13:52:28.908</v>
      </c>
      <c r="C237" t="str">
        <f t="shared" si="14"/>
        <v>FFDFD3C0</v>
      </c>
      <c r="D237" t="s">
        <v>113</v>
      </c>
      <c r="E237">
        <v>7</v>
      </c>
      <c r="H237">
        <v>170</v>
      </c>
      <c r="I237" t="s">
        <v>114</v>
      </c>
      <c r="J237" t="s">
        <v>115</v>
      </c>
      <c r="K237">
        <v>0</v>
      </c>
      <c r="L237">
        <v>3</v>
      </c>
      <c r="M237">
        <v>0</v>
      </c>
      <c r="N237">
        <v>2</v>
      </c>
      <c r="O237">
        <v>1</v>
      </c>
      <c r="P237">
        <v>0</v>
      </c>
      <c r="Q237">
        <v>0</v>
      </c>
      <c r="S237" t="str">
        <f>"13:52:28.719"</f>
        <v>13:52:28.719</v>
      </c>
      <c r="T237" t="str">
        <f>"13:52:28.219"</f>
        <v>13:52:28.219</v>
      </c>
      <c r="U237" t="str">
        <f t="shared" si="13"/>
        <v>A92BC1</v>
      </c>
      <c r="V237">
        <v>0</v>
      </c>
      <c r="W237">
        <v>0</v>
      </c>
      <c r="X237">
        <v>2</v>
      </c>
      <c r="Z237">
        <v>0</v>
      </c>
      <c r="AA237">
        <v>9</v>
      </c>
      <c r="AB237">
        <v>3</v>
      </c>
      <c r="AC237">
        <v>0</v>
      </c>
      <c r="AD237">
        <v>10</v>
      </c>
      <c r="AE237">
        <v>0</v>
      </c>
      <c r="AF237">
        <v>3</v>
      </c>
      <c r="AG237">
        <v>2</v>
      </c>
      <c r="AH237">
        <v>0</v>
      </c>
      <c r="AI237" t="s">
        <v>338</v>
      </c>
      <c r="AJ237">
        <v>45.683942000000002</v>
      </c>
      <c r="AK237" t="s">
        <v>339</v>
      </c>
      <c r="AL237">
        <v>-89.461540999999997</v>
      </c>
      <c r="AM237">
        <v>100</v>
      </c>
      <c r="AN237">
        <v>5900</v>
      </c>
      <c r="AO237" t="s">
        <v>118</v>
      </c>
      <c r="AP237">
        <v>126</v>
      </c>
      <c r="AQ237">
        <v>97</v>
      </c>
      <c r="AR237">
        <v>2304</v>
      </c>
      <c r="AZ237">
        <v>1200</v>
      </c>
      <c r="BA237">
        <v>1</v>
      </c>
      <c r="BB237" t="str">
        <f t="shared" si="15"/>
        <v xml:space="preserve">N690LS  </v>
      </c>
      <c r="BC237">
        <v>1</v>
      </c>
      <c r="BE237">
        <v>0</v>
      </c>
      <c r="BF237">
        <v>0</v>
      </c>
      <c r="BG237">
        <v>0</v>
      </c>
      <c r="BH237">
        <v>5925</v>
      </c>
      <c r="BI237">
        <v>1</v>
      </c>
      <c r="BJ237">
        <v>1</v>
      </c>
      <c r="BK237">
        <v>1</v>
      </c>
      <c r="BL237">
        <v>0</v>
      </c>
      <c r="BO237">
        <v>0</v>
      </c>
      <c r="BP237">
        <v>0</v>
      </c>
      <c r="BW237" t="str">
        <f>"13:52:28.724"</f>
        <v>13:52:28.724</v>
      </c>
      <c r="CJ237">
        <v>0</v>
      </c>
      <c r="CK237">
        <v>2</v>
      </c>
      <c r="CL237">
        <v>0</v>
      </c>
      <c r="CM237">
        <v>2</v>
      </c>
      <c r="CN237">
        <v>0</v>
      </c>
      <c r="CO237">
        <v>5</v>
      </c>
      <c r="CP237" t="s">
        <v>119</v>
      </c>
      <c r="CQ237">
        <v>209</v>
      </c>
      <c r="CR237">
        <v>3</v>
      </c>
      <c r="CW237">
        <v>7148402</v>
      </c>
      <c r="CY237">
        <v>1</v>
      </c>
      <c r="CZ237">
        <v>0</v>
      </c>
      <c r="DA237">
        <v>0</v>
      </c>
      <c r="DB237">
        <v>0</v>
      </c>
      <c r="DC237">
        <v>0</v>
      </c>
      <c r="DD237">
        <v>0</v>
      </c>
      <c r="DE237">
        <v>0</v>
      </c>
      <c r="DF237">
        <v>0</v>
      </c>
      <c r="DG237">
        <v>0</v>
      </c>
      <c r="DH237">
        <v>0</v>
      </c>
      <c r="DI237">
        <v>0</v>
      </c>
    </row>
    <row r="238" spans="1:113" x14ac:dyDescent="0.3">
      <c r="A238" t="str">
        <f>"09/28/2021 13:52:28.908"</f>
        <v>09/28/2021 13:52:28.908</v>
      </c>
      <c r="C238" t="str">
        <f t="shared" si="14"/>
        <v>FFDFD3C0</v>
      </c>
      <c r="D238" t="s">
        <v>120</v>
      </c>
      <c r="E238">
        <v>12</v>
      </c>
      <c r="F238">
        <v>1012</v>
      </c>
      <c r="G238" t="s">
        <v>114</v>
      </c>
      <c r="J238" t="s">
        <v>121</v>
      </c>
      <c r="K238">
        <v>0</v>
      </c>
      <c r="L238">
        <v>3</v>
      </c>
      <c r="M238">
        <v>0</v>
      </c>
      <c r="N238">
        <v>2</v>
      </c>
      <c r="O238">
        <v>1</v>
      </c>
      <c r="P238">
        <v>0</v>
      </c>
      <c r="Q238">
        <v>0</v>
      </c>
      <c r="S238" t="str">
        <f>"13:52:28.719"</f>
        <v>13:52:28.719</v>
      </c>
      <c r="T238" t="str">
        <f>"13:52:28.219"</f>
        <v>13:52:28.219</v>
      </c>
      <c r="U238" t="str">
        <f t="shared" si="13"/>
        <v>A92BC1</v>
      </c>
      <c r="V238">
        <v>0</v>
      </c>
      <c r="W238">
        <v>0</v>
      </c>
      <c r="X238">
        <v>2</v>
      </c>
      <c r="Z238">
        <v>0</v>
      </c>
      <c r="AA238">
        <v>9</v>
      </c>
      <c r="AB238">
        <v>3</v>
      </c>
      <c r="AC238">
        <v>0</v>
      </c>
      <c r="AD238">
        <v>10</v>
      </c>
      <c r="AE238">
        <v>0</v>
      </c>
      <c r="AF238">
        <v>3</v>
      </c>
      <c r="AG238">
        <v>2</v>
      </c>
      <c r="AH238">
        <v>0</v>
      </c>
      <c r="AI238" t="s">
        <v>338</v>
      </c>
      <c r="AJ238">
        <v>45.683942000000002</v>
      </c>
      <c r="AK238" t="s">
        <v>339</v>
      </c>
      <c r="AL238">
        <v>-89.461540999999997</v>
      </c>
      <c r="AM238">
        <v>100</v>
      </c>
      <c r="AN238">
        <v>5900</v>
      </c>
      <c r="AO238" t="s">
        <v>118</v>
      </c>
      <c r="AP238">
        <v>126</v>
      </c>
      <c r="AQ238">
        <v>97</v>
      </c>
      <c r="AR238">
        <v>2304</v>
      </c>
      <c r="AZ238">
        <v>1200</v>
      </c>
      <c r="BA238">
        <v>1</v>
      </c>
      <c r="BB238" t="str">
        <f t="shared" si="15"/>
        <v xml:space="preserve">N690LS  </v>
      </c>
      <c r="BC238">
        <v>1</v>
      </c>
      <c r="BE238">
        <v>0</v>
      </c>
      <c r="BF238">
        <v>0</v>
      </c>
      <c r="BG238">
        <v>0</v>
      </c>
      <c r="BH238">
        <v>5925</v>
      </c>
      <c r="BI238">
        <v>1</v>
      </c>
      <c r="BJ238">
        <v>1</v>
      </c>
      <c r="BK238">
        <v>1</v>
      </c>
      <c r="BL238">
        <v>0</v>
      </c>
      <c r="BO238">
        <v>0</v>
      </c>
      <c r="BP238">
        <v>0</v>
      </c>
      <c r="BW238" t="str">
        <f>"13:52:28.724"</f>
        <v>13:52:28.724</v>
      </c>
      <c r="CJ238">
        <v>0</v>
      </c>
      <c r="CK238">
        <v>2</v>
      </c>
      <c r="CL238">
        <v>0</v>
      </c>
      <c r="CM238">
        <v>2</v>
      </c>
      <c r="CN238">
        <v>0</v>
      </c>
      <c r="CO238">
        <v>5</v>
      </c>
      <c r="CP238" t="s">
        <v>119</v>
      </c>
      <c r="CQ238">
        <v>209</v>
      </c>
      <c r="CR238">
        <v>3</v>
      </c>
      <c r="CW238">
        <v>7148402</v>
      </c>
      <c r="CY238">
        <v>1</v>
      </c>
      <c r="CZ238">
        <v>0</v>
      </c>
      <c r="DA238">
        <v>1</v>
      </c>
      <c r="DB238">
        <v>0</v>
      </c>
      <c r="DC238">
        <v>0</v>
      </c>
      <c r="DD238">
        <v>0</v>
      </c>
      <c r="DE238">
        <v>0</v>
      </c>
      <c r="DF238">
        <v>0</v>
      </c>
      <c r="DG238">
        <v>0</v>
      </c>
      <c r="DH238">
        <v>0</v>
      </c>
      <c r="DI238">
        <v>0</v>
      </c>
    </row>
    <row r="239" spans="1:113" x14ac:dyDescent="0.3">
      <c r="A239" t="str">
        <f>"09/28/2021 13:52:29.845"</f>
        <v>09/28/2021 13:52:29.845</v>
      </c>
      <c r="C239" t="str">
        <f t="shared" si="14"/>
        <v>FFDFD3C0</v>
      </c>
      <c r="D239" t="s">
        <v>113</v>
      </c>
      <c r="E239">
        <v>7</v>
      </c>
      <c r="H239">
        <v>170</v>
      </c>
      <c r="I239" t="s">
        <v>114</v>
      </c>
      <c r="J239" t="s">
        <v>115</v>
      </c>
      <c r="K239">
        <v>0</v>
      </c>
      <c r="L239">
        <v>3</v>
      </c>
      <c r="M239">
        <v>0</v>
      </c>
      <c r="N239">
        <v>2</v>
      </c>
      <c r="O239">
        <v>1</v>
      </c>
      <c r="P239">
        <v>0</v>
      </c>
      <c r="Q239">
        <v>0</v>
      </c>
      <c r="S239" t="str">
        <f>"13:52:29.672"</f>
        <v>13:52:29.672</v>
      </c>
      <c r="T239" t="str">
        <f>"13:52:29.272"</f>
        <v>13:52:29.272</v>
      </c>
      <c r="U239" t="str">
        <f t="shared" si="13"/>
        <v>A92BC1</v>
      </c>
      <c r="V239">
        <v>0</v>
      </c>
      <c r="W239">
        <v>0</v>
      </c>
      <c r="X239">
        <v>2</v>
      </c>
      <c r="Z239">
        <v>0</v>
      </c>
      <c r="AA239">
        <v>9</v>
      </c>
      <c r="AB239">
        <v>3</v>
      </c>
      <c r="AC239">
        <v>0</v>
      </c>
      <c r="AD239">
        <v>10</v>
      </c>
      <c r="AE239">
        <v>0</v>
      </c>
      <c r="AF239">
        <v>3</v>
      </c>
      <c r="AG239">
        <v>2</v>
      </c>
      <c r="AH239">
        <v>0</v>
      </c>
      <c r="AI239" t="s">
        <v>340</v>
      </c>
      <c r="AJ239">
        <v>45.684370999999999</v>
      </c>
      <c r="AK239" t="s">
        <v>341</v>
      </c>
      <c r="AL239">
        <v>-89.460768999999999</v>
      </c>
      <c r="AM239">
        <v>100</v>
      </c>
      <c r="AN239">
        <v>5900</v>
      </c>
      <c r="AO239" t="s">
        <v>118</v>
      </c>
      <c r="AP239">
        <v>125</v>
      </c>
      <c r="AQ239">
        <v>97</v>
      </c>
      <c r="AR239">
        <v>2304</v>
      </c>
      <c r="AZ239">
        <v>1200</v>
      </c>
      <c r="BA239">
        <v>1</v>
      </c>
      <c r="BB239" t="str">
        <f t="shared" si="15"/>
        <v xml:space="preserve">N690LS  </v>
      </c>
      <c r="BC239">
        <v>1</v>
      </c>
      <c r="BE239">
        <v>0</v>
      </c>
      <c r="BF239">
        <v>0</v>
      </c>
      <c r="BG239">
        <v>0</v>
      </c>
      <c r="BH239">
        <v>5975</v>
      </c>
      <c r="BI239">
        <v>1</v>
      </c>
      <c r="BJ239">
        <v>1</v>
      </c>
      <c r="BK239">
        <v>1</v>
      </c>
      <c r="BL239">
        <v>0</v>
      </c>
      <c r="BO239">
        <v>0</v>
      </c>
      <c r="BP239">
        <v>0</v>
      </c>
      <c r="BW239" t="str">
        <f>"13:52:29.679"</f>
        <v>13:52:29.679</v>
      </c>
      <c r="CJ239">
        <v>0</v>
      </c>
      <c r="CK239">
        <v>2</v>
      </c>
      <c r="CL239">
        <v>0</v>
      </c>
      <c r="CM239">
        <v>2</v>
      </c>
      <c r="CN239">
        <v>0</v>
      </c>
      <c r="CO239">
        <v>5</v>
      </c>
      <c r="CP239" t="s">
        <v>119</v>
      </c>
      <c r="CQ239">
        <v>209</v>
      </c>
      <c r="CR239">
        <v>3</v>
      </c>
      <c r="CW239">
        <v>7148687</v>
      </c>
      <c r="CY239">
        <v>1</v>
      </c>
      <c r="CZ239">
        <v>0</v>
      </c>
      <c r="DA239">
        <v>0</v>
      </c>
      <c r="DB239">
        <v>0</v>
      </c>
      <c r="DC239">
        <v>0</v>
      </c>
      <c r="DD239">
        <v>0</v>
      </c>
      <c r="DE239">
        <v>0</v>
      </c>
      <c r="DF239">
        <v>0</v>
      </c>
      <c r="DG239">
        <v>0</v>
      </c>
      <c r="DH239">
        <v>0</v>
      </c>
      <c r="DI239">
        <v>0</v>
      </c>
    </row>
    <row r="240" spans="1:113" x14ac:dyDescent="0.3">
      <c r="A240" t="str">
        <f>"09/28/2021 13:52:29.845"</f>
        <v>09/28/2021 13:52:29.845</v>
      </c>
      <c r="C240" t="str">
        <f t="shared" si="14"/>
        <v>FFDFD3C0</v>
      </c>
      <c r="D240" t="s">
        <v>120</v>
      </c>
      <c r="E240">
        <v>12</v>
      </c>
      <c r="F240">
        <v>1012</v>
      </c>
      <c r="G240" t="s">
        <v>114</v>
      </c>
      <c r="J240" t="s">
        <v>121</v>
      </c>
      <c r="K240">
        <v>0</v>
      </c>
      <c r="L240">
        <v>3</v>
      </c>
      <c r="M240">
        <v>0</v>
      </c>
      <c r="N240">
        <v>2</v>
      </c>
      <c r="O240">
        <v>1</v>
      </c>
      <c r="P240">
        <v>0</v>
      </c>
      <c r="Q240">
        <v>0</v>
      </c>
      <c r="S240" t="str">
        <f>"13:52:29.672"</f>
        <v>13:52:29.672</v>
      </c>
      <c r="T240" t="str">
        <f>"13:52:29.272"</f>
        <v>13:52:29.272</v>
      </c>
      <c r="U240" t="str">
        <f t="shared" si="13"/>
        <v>A92BC1</v>
      </c>
      <c r="V240">
        <v>0</v>
      </c>
      <c r="W240">
        <v>0</v>
      </c>
      <c r="X240">
        <v>2</v>
      </c>
      <c r="Z240">
        <v>0</v>
      </c>
      <c r="AA240">
        <v>9</v>
      </c>
      <c r="AB240">
        <v>3</v>
      </c>
      <c r="AC240">
        <v>0</v>
      </c>
      <c r="AD240">
        <v>10</v>
      </c>
      <c r="AE240">
        <v>0</v>
      </c>
      <c r="AF240">
        <v>3</v>
      </c>
      <c r="AG240">
        <v>2</v>
      </c>
      <c r="AH240">
        <v>0</v>
      </c>
      <c r="AI240" t="s">
        <v>340</v>
      </c>
      <c r="AJ240">
        <v>45.684370999999999</v>
      </c>
      <c r="AK240" t="s">
        <v>341</v>
      </c>
      <c r="AL240">
        <v>-89.460768999999999</v>
      </c>
      <c r="AM240">
        <v>100</v>
      </c>
      <c r="AN240">
        <v>5900</v>
      </c>
      <c r="AO240" t="s">
        <v>118</v>
      </c>
      <c r="AP240">
        <v>125</v>
      </c>
      <c r="AQ240">
        <v>97</v>
      </c>
      <c r="AR240">
        <v>2304</v>
      </c>
      <c r="AZ240">
        <v>1200</v>
      </c>
      <c r="BA240">
        <v>1</v>
      </c>
      <c r="BB240" t="str">
        <f t="shared" si="15"/>
        <v xml:space="preserve">N690LS  </v>
      </c>
      <c r="BC240">
        <v>1</v>
      </c>
      <c r="BE240">
        <v>0</v>
      </c>
      <c r="BF240">
        <v>0</v>
      </c>
      <c r="BG240">
        <v>0</v>
      </c>
      <c r="BH240">
        <v>5975</v>
      </c>
      <c r="BI240">
        <v>1</v>
      </c>
      <c r="BJ240">
        <v>1</v>
      </c>
      <c r="BK240">
        <v>1</v>
      </c>
      <c r="BL240">
        <v>0</v>
      </c>
      <c r="BO240">
        <v>0</v>
      </c>
      <c r="BP240">
        <v>0</v>
      </c>
      <c r="BW240" t="str">
        <f>"13:52:29.679"</f>
        <v>13:52:29.679</v>
      </c>
      <c r="CJ240">
        <v>0</v>
      </c>
      <c r="CK240">
        <v>2</v>
      </c>
      <c r="CL240">
        <v>0</v>
      </c>
      <c r="CM240">
        <v>2</v>
      </c>
      <c r="CN240">
        <v>0</v>
      </c>
      <c r="CO240">
        <v>5</v>
      </c>
      <c r="CP240" t="s">
        <v>119</v>
      </c>
      <c r="CQ240">
        <v>209</v>
      </c>
      <c r="CR240">
        <v>3</v>
      </c>
      <c r="CW240">
        <v>7148687</v>
      </c>
      <c r="CY240">
        <v>1</v>
      </c>
      <c r="CZ240">
        <v>0</v>
      </c>
      <c r="DA240">
        <v>1</v>
      </c>
      <c r="DB240">
        <v>0</v>
      </c>
      <c r="DC240">
        <v>0</v>
      </c>
      <c r="DD240">
        <v>0</v>
      </c>
      <c r="DE240">
        <v>0</v>
      </c>
      <c r="DF240">
        <v>0</v>
      </c>
      <c r="DG240">
        <v>0</v>
      </c>
      <c r="DH240">
        <v>0</v>
      </c>
      <c r="DI240">
        <v>0</v>
      </c>
    </row>
    <row r="241" spans="1:113" x14ac:dyDescent="0.3">
      <c r="A241" t="str">
        <f>"09/28/2021 13:52:30.986"</f>
        <v>09/28/2021 13:52:30.986</v>
      </c>
      <c r="C241" t="str">
        <f t="shared" si="14"/>
        <v>FFDFD3C0</v>
      </c>
      <c r="D241" t="s">
        <v>120</v>
      </c>
      <c r="E241">
        <v>12</v>
      </c>
      <c r="F241">
        <v>1012</v>
      </c>
      <c r="G241" t="s">
        <v>114</v>
      </c>
      <c r="J241" t="s">
        <v>121</v>
      </c>
      <c r="K241">
        <v>0</v>
      </c>
      <c r="L241">
        <v>3</v>
      </c>
      <c r="M241">
        <v>0</v>
      </c>
      <c r="N241">
        <v>2</v>
      </c>
      <c r="O241">
        <v>1</v>
      </c>
      <c r="P241">
        <v>0</v>
      </c>
      <c r="Q241">
        <v>0</v>
      </c>
      <c r="S241" t="str">
        <f>"13:52:30.797"</f>
        <v>13:52:30.797</v>
      </c>
      <c r="T241" t="str">
        <f>"13:52:30.297"</f>
        <v>13:52:30.297</v>
      </c>
      <c r="U241" t="str">
        <f t="shared" si="13"/>
        <v>A92BC1</v>
      </c>
      <c r="V241">
        <v>0</v>
      </c>
      <c r="W241">
        <v>0</v>
      </c>
      <c r="X241">
        <v>2</v>
      </c>
      <c r="Z241">
        <v>0</v>
      </c>
      <c r="AA241">
        <v>9</v>
      </c>
      <c r="AB241">
        <v>3</v>
      </c>
      <c r="AC241">
        <v>0</v>
      </c>
      <c r="AD241">
        <v>10</v>
      </c>
      <c r="AE241">
        <v>0</v>
      </c>
      <c r="AF241">
        <v>3</v>
      </c>
      <c r="AG241">
        <v>2</v>
      </c>
      <c r="AH241">
        <v>0</v>
      </c>
      <c r="AI241" t="s">
        <v>342</v>
      </c>
      <c r="AJ241">
        <v>45.684865000000002</v>
      </c>
      <c r="AK241" t="s">
        <v>343</v>
      </c>
      <c r="AL241">
        <v>-89.459867000000003</v>
      </c>
      <c r="AM241">
        <v>100</v>
      </c>
      <c r="AN241">
        <v>5900</v>
      </c>
      <c r="AO241" t="s">
        <v>118</v>
      </c>
      <c r="AP241">
        <v>125</v>
      </c>
      <c r="AQ241">
        <v>98</v>
      </c>
      <c r="AR241">
        <v>2304</v>
      </c>
      <c r="AZ241">
        <v>1200</v>
      </c>
      <c r="BA241">
        <v>1</v>
      </c>
      <c r="BB241" t="str">
        <f t="shared" si="15"/>
        <v xml:space="preserve">N690LS  </v>
      </c>
      <c r="BC241">
        <v>1</v>
      </c>
      <c r="BE241">
        <v>0</v>
      </c>
      <c r="BF241">
        <v>0</v>
      </c>
      <c r="BG241">
        <v>0</v>
      </c>
      <c r="BH241">
        <v>6025</v>
      </c>
      <c r="BI241">
        <v>1</v>
      </c>
      <c r="BJ241">
        <v>1</v>
      </c>
      <c r="BK241">
        <v>1</v>
      </c>
      <c r="BL241">
        <v>0</v>
      </c>
      <c r="BO241">
        <v>0</v>
      </c>
      <c r="BP241">
        <v>0</v>
      </c>
      <c r="BW241" t="str">
        <f>"13:52:30.801"</f>
        <v>13:52:30.801</v>
      </c>
      <c r="CJ241">
        <v>0</v>
      </c>
      <c r="CK241">
        <v>2</v>
      </c>
      <c r="CL241">
        <v>0</v>
      </c>
      <c r="CM241">
        <v>2</v>
      </c>
      <c r="CN241">
        <v>0</v>
      </c>
      <c r="CO241">
        <v>7</v>
      </c>
      <c r="CP241" t="s">
        <v>119</v>
      </c>
      <c r="CQ241">
        <v>197</v>
      </c>
      <c r="CR241">
        <v>1</v>
      </c>
      <c r="CW241">
        <v>7090912</v>
      </c>
      <c r="CY241">
        <v>1</v>
      </c>
      <c r="CZ241">
        <v>0</v>
      </c>
      <c r="DA241">
        <v>0</v>
      </c>
      <c r="DB241">
        <v>0</v>
      </c>
      <c r="DC241">
        <v>0</v>
      </c>
      <c r="DD241">
        <v>0</v>
      </c>
      <c r="DE241">
        <v>0</v>
      </c>
      <c r="DF241">
        <v>0</v>
      </c>
      <c r="DG241">
        <v>0</v>
      </c>
      <c r="DH241">
        <v>0</v>
      </c>
      <c r="DI241">
        <v>0</v>
      </c>
    </row>
    <row r="242" spans="1:113" x14ac:dyDescent="0.3">
      <c r="A242" t="str">
        <f>"09/28/2021 13:52:31.064"</f>
        <v>09/28/2021 13:52:31.064</v>
      </c>
      <c r="C242" t="str">
        <f t="shared" si="14"/>
        <v>FFDFD3C0</v>
      </c>
      <c r="D242" t="s">
        <v>113</v>
      </c>
      <c r="E242">
        <v>7</v>
      </c>
      <c r="H242">
        <v>170</v>
      </c>
      <c r="I242" t="s">
        <v>114</v>
      </c>
      <c r="J242" t="s">
        <v>115</v>
      </c>
      <c r="K242">
        <v>0</v>
      </c>
      <c r="L242">
        <v>3</v>
      </c>
      <c r="M242">
        <v>0</v>
      </c>
      <c r="N242">
        <v>2</v>
      </c>
      <c r="O242">
        <v>1</v>
      </c>
      <c r="P242">
        <v>0</v>
      </c>
      <c r="Q242">
        <v>0</v>
      </c>
      <c r="S242" t="str">
        <f>"13:52:30.797"</f>
        <v>13:52:30.797</v>
      </c>
      <c r="T242" t="str">
        <f>"13:52:30.297"</f>
        <v>13:52:30.297</v>
      </c>
      <c r="U242" t="str">
        <f t="shared" si="13"/>
        <v>A92BC1</v>
      </c>
      <c r="V242">
        <v>0</v>
      </c>
      <c r="W242">
        <v>0</v>
      </c>
      <c r="X242">
        <v>2</v>
      </c>
      <c r="Z242">
        <v>0</v>
      </c>
      <c r="AA242">
        <v>9</v>
      </c>
      <c r="AB242">
        <v>3</v>
      </c>
      <c r="AC242">
        <v>0</v>
      </c>
      <c r="AD242">
        <v>10</v>
      </c>
      <c r="AE242">
        <v>0</v>
      </c>
      <c r="AF242">
        <v>3</v>
      </c>
      <c r="AG242">
        <v>2</v>
      </c>
      <c r="AH242">
        <v>0</v>
      </c>
      <c r="AI242" t="s">
        <v>342</v>
      </c>
      <c r="AJ242">
        <v>45.684865000000002</v>
      </c>
      <c r="AK242" t="s">
        <v>343</v>
      </c>
      <c r="AL242">
        <v>-89.459867000000003</v>
      </c>
      <c r="AM242">
        <v>100</v>
      </c>
      <c r="AN242">
        <v>5900</v>
      </c>
      <c r="AO242" t="s">
        <v>118</v>
      </c>
      <c r="AP242">
        <v>125</v>
      </c>
      <c r="AQ242">
        <v>98</v>
      </c>
      <c r="AR242">
        <v>2304</v>
      </c>
      <c r="AZ242">
        <v>1200</v>
      </c>
      <c r="BA242">
        <v>1</v>
      </c>
      <c r="BB242" t="str">
        <f t="shared" si="15"/>
        <v xml:space="preserve">N690LS  </v>
      </c>
      <c r="BC242">
        <v>1</v>
      </c>
      <c r="BE242">
        <v>0</v>
      </c>
      <c r="BF242">
        <v>0</v>
      </c>
      <c r="BG242">
        <v>0</v>
      </c>
      <c r="BH242">
        <v>6025</v>
      </c>
      <c r="BI242">
        <v>1</v>
      </c>
      <c r="BJ242">
        <v>1</v>
      </c>
      <c r="BK242">
        <v>1</v>
      </c>
      <c r="BL242">
        <v>0</v>
      </c>
      <c r="BO242">
        <v>0</v>
      </c>
      <c r="BP242">
        <v>0</v>
      </c>
      <c r="BW242" t="str">
        <f>"13:52:30.801"</f>
        <v>13:52:30.801</v>
      </c>
      <c r="CJ242">
        <v>0</v>
      </c>
      <c r="CK242">
        <v>2</v>
      </c>
      <c r="CL242">
        <v>0</v>
      </c>
      <c r="CM242">
        <v>2</v>
      </c>
      <c r="CN242">
        <v>0</v>
      </c>
      <c r="CO242">
        <v>7</v>
      </c>
      <c r="CP242" t="s">
        <v>119</v>
      </c>
      <c r="CQ242">
        <v>197</v>
      </c>
      <c r="CR242">
        <v>1</v>
      </c>
      <c r="CW242">
        <v>7090912</v>
      </c>
      <c r="CY242">
        <v>1</v>
      </c>
      <c r="CZ242">
        <v>0</v>
      </c>
      <c r="DA242">
        <v>1</v>
      </c>
      <c r="DB242">
        <v>0</v>
      </c>
      <c r="DC242">
        <v>0</v>
      </c>
      <c r="DD242">
        <v>0</v>
      </c>
      <c r="DE242">
        <v>0</v>
      </c>
      <c r="DF242">
        <v>0</v>
      </c>
      <c r="DG242">
        <v>0</v>
      </c>
      <c r="DH242">
        <v>0</v>
      </c>
      <c r="DI242">
        <v>0</v>
      </c>
    </row>
    <row r="243" spans="1:113" x14ac:dyDescent="0.3">
      <c r="A243" t="str">
        <f>"09/28/2021 13:52:32.009"</f>
        <v>09/28/2021 13:52:32.009</v>
      </c>
      <c r="C243" t="str">
        <f t="shared" si="14"/>
        <v>FFDFD3C0</v>
      </c>
      <c r="D243" t="s">
        <v>113</v>
      </c>
      <c r="E243">
        <v>7</v>
      </c>
      <c r="H243">
        <v>170</v>
      </c>
      <c r="I243" t="s">
        <v>114</v>
      </c>
      <c r="J243" t="s">
        <v>115</v>
      </c>
      <c r="K243">
        <v>0</v>
      </c>
      <c r="L243">
        <v>3</v>
      </c>
      <c r="M243">
        <v>0</v>
      </c>
      <c r="N243">
        <v>2</v>
      </c>
      <c r="O243">
        <v>1</v>
      </c>
      <c r="P243">
        <v>0</v>
      </c>
      <c r="Q243">
        <v>0</v>
      </c>
      <c r="S243" t="str">
        <f>"13:52:31.766"</f>
        <v>13:52:31.766</v>
      </c>
      <c r="T243" t="str">
        <f>"13:52:31.266"</f>
        <v>13:52:31.266</v>
      </c>
      <c r="U243" t="str">
        <f t="shared" si="13"/>
        <v>A92BC1</v>
      </c>
      <c r="V243">
        <v>0</v>
      </c>
      <c r="W243">
        <v>0</v>
      </c>
      <c r="X243">
        <v>2</v>
      </c>
      <c r="Z243">
        <v>0</v>
      </c>
      <c r="AA243">
        <v>9</v>
      </c>
      <c r="AB243">
        <v>3</v>
      </c>
      <c r="AC243">
        <v>0</v>
      </c>
      <c r="AD243">
        <v>10</v>
      </c>
      <c r="AE243">
        <v>0</v>
      </c>
      <c r="AF243">
        <v>3</v>
      </c>
      <c r="AG243">
        <v>2</v>
      </c>
      <c r="AH243">
        <v>0</v>
      </c>
      <c r="AI243" t="s">
        <v>344</v>
      </c>
      <c r="AJ243">
        <v>45.685315000000003</v>
      </c>
      <c r="AK243" t="s">
        <v>345</v>
      </c>
      <c r="AL243">
        <v>-89.459052</v>
      </c>
      <c r="AM243">
        <v>100</v>
      </c>
      <c r="AN243">
        <v>6000</v>
      </c>
      <c r="AO243" t="s">
        <v>118</v>
      </c>
      <c r="AP243">
        <v>124</v>
      </c>
      <c r="AQ243">
        <v>98</v>
      </c>
      <c r="AR243">
        <v>2304</v>
      </c>
      <c r="AZ243">
        <v>1200</v>
      </c>
      <c r="BA243">
        <v>1</v>
      </c>
      <c r="BB243" t="str">
        <f t="shared" si="15"/>
        <v xml:space="preserve">N690LS  </v>
      </c>
      <c r="BC243">
        <v>1</v>
      </c>
      <c r="BE243">
        <v>0</v>
      </c>
      <c r="BF243">
        <v>0</v>
      </c>
      <c r="BG243">
        <v>0</v>
      </c>
      <c r="BH243">
        <v>6050</v>
      </c>
      <c r="BI243">
        <v>1</v>
      </c>
      <c r="BJ243">
        <v>1</v>
      </c>
      <c r="BK243">
        <v>1</v>
      </c>
      <c r="BL243">
        <v>0</v>
      </c>
      <c r="BO243">
        <v>0</v>
      </c>
      <c r="BP243">
        <v>0</v>
      </c>
      <c r="BW243" t="str">
        <f>"13:52:31.768"</f>
        <v>13:52:31.768</v>
      </c>
      <c r="CJ243">
        <v>0</v>
      </c>
      <c r="CK243">
        <v>2</v>
      </c>
      <c r="CL243">
        <v>0</v>
      </c>
      <c r="CM243">
        <v>2</v>
      </c>
      <c r="CN243">
        <v>0</v>
      </c>
      <c r="CO243">
        <v>5</v>
      </c>
      <c r="CP243" t="s">
        <v>119</v>
      </c>
      <c r="CQ243">
        <v>209</v>
      </c>
      <c r="CR243">
        <v>3</v>
      </c>
      <c r="CW243">
        <v>7149352</v>
      </c>
      <c r="CY243">
        <v>1</v>
      </c>
      <c r="CZ243">
        <v>0</v>
      </c>
      <c r="DA243">
        <v>0</v>
      </c>
      <c r="DB243">
        <v>0</v>
      </c>
      <c r="DC243">
        <v>0</v>
      </c>
      <c r="DD243">
        <v>0</v>
      </c>
      <c r="DE243">
        <v>0</v>
      </c>
      <c r="DF243">
        <v>0</v>
      </c>
      <c r="DG243">
        <v>0</v>
      </c>
      <c r="DH243">
        <v>0</v>
      </c>
      <c r="DI243">
        <v>0</v>
      </c>
    </row>
    <row r="244" spans="1:113" x14ac:dyDescent="0.3">
      <c r="A244" t="str">
        <f>"09/28/2021 13:52:32.009"</f>
        <v>09/28/2021 13:52:32.009</v>
      </c>
      <c r="C244" t="str">
        <f t="shared" si="14"/>
        <v>FFDFD3C0</v>
      </c>
      <c r="D244" t="s">
        <v>120</v>
      </c>
      <c r="E244">
        <v>12</v>
      </c>
      <c r="F244">
        <v>1012</v>
      </c>
      <c r="G244" t="s">
        <v>114</v>
      </c>
      <c r="J244" t="s">
        <v>121</v>
      </c>
      <c r="K244">
        <v>0</v>
      </c>
      <c r="L244">
        <v>3</v>
      </c>
      <c r="M244">
        <v>0</v>
      </c>
      <c r="N244">
        <v>2</v>
      </c>
      <c r="O244">
        <v>1</v>
      </c>
      <c r="P244">
        <v>0</v>
      </c>
      <c r="Q244">
        <v>0</v>
      </c>
      <c r="S244" t="str">
        <f>"13:52:31.766"</f>
        <v>13:52:31.766</v>
      </c>
      <c r="T244" t="str">
        <f>"13:52:31.266"</f>
        <v>13:52:31.266</v>
      </c>
      <c r="U244" t="str">
        <f t="shared" si="13"/>
        <v>A92BC1</v>
      </c>
      <c r="V244">
        <v>0</v>
      </c>
      <c r="W244">
        <v>0</v>
      </c>
      <c r="X244">
        <v>2</v>
      </c>
      <c r="Z244">
        <v>0</v>
      </c>
      <c r="AA244">
        <v>9</v>
      </c>
      <c r="AB244">
        <v>3</v>
      </c>
      <c r="AC244">
        <v>0</v>
      </c>
      <c r="AD244">
        <v>10</v>
      </c>
      <c r="AE244">
        <v>0</v>
      </c>
      <c r="AF244">
        <v>3</v>
      </c>
      <c r="AG244">
        <v>2</v>
      </c>
      <c r="AH244">
        <v>0</v>
      </c>
      <c r="AI244" t="s">
        <v>344</v>
      </c>
      <c r="AJ244">
        <v>45.685315000000003</v>
      </c>
      <c r="AK244" t="s">
        <v>345</v>
      </c>
      <c r="AL244">
        <v>-89.459052</v>
      </c>
      <c r="AM244">
        <v>100</v>
      </c>
      <c r="AN244">
        <v>6000</v>
      </c>
      <c r="AO244" t="s">
        <v>118</v>
      </c>
      <c r="AP244">
        <v>124</v>
      </c>
      <c r="AQ244">
        <v>98</v>
      </c>
      <c r="AR244">
        <v>2304</v>
      </c>
      <c r="AZ244">
        <v>1200</v>
      </c>
      <c r="BA244">
        <v>1</v>
      </c>
      <c r="BB244" t="str">
        <f t="shared" si="15"/>
        <v xml:space="preserve">N690LS  </v>
      </c>
      <c r="BC244">
        <v>1</v>
      </c>
      <c r="BE244">
        <v>0</v>
      </c>
      <c r="BF244">
        <v>0</v>
      </c>
      <c r="BG244">
        <v>0</v>
      </c>
      <c r="BH244">
        <v>6050</v>
      </c>
      <c r="BI244">
        <v>1</v>
      </c>
      <c r="BJ244">
        <v>1</v>
      </c>
      <c r="BK244">
        <v>1</v>
      </c>
      <c r="BL244">
        <v>0</v>
      </c>
      <c r="BO244">
        <v>0</v>
      </c>
      <c r="BP244">
        <v>0</v>
      </c>
      <c r="BW244" t="str">
        <f>"13:52:31.768"</f>
        <v>13:52:31.768</v>
      </c>
      <c r="CJ244">
        <v>0</v>
      </c>
      <c r="CK244">
        <v>2</v>
      </c>
      <c r="CL244">
        <v>0</v>
      </c>
      <c r="CM244">
        <v>2</v>
      </c>
      <c r="CN244">
        <v>0</v>
      </c>
      <c r="CO244">
        <v>5</v>
      </c>
      <c r="CP244" t="s">
        <v>119</v>
      </c>
      <c r="CQ244">
        <v>464</v>
      </c>
      <c r="CR244">
        <v>3</v>
      </c>
      <c r="CW244">
        <v>5365467</v>
      </c>
      <c r="CY244">
        <v>1</v>
      </c>
      <c r="CZ244">
        <v>0</v>
      </c>
      <c r="DA244">
        <v>1</v>
      </c>
      <c r="DB244">
        <v>0</v>
      </c>
      <c r="DC244">
        <v>0</v>
      </c>
      <c r="DD244">
        <v>0</v>
      </c>
      <c r="DE244">
        <v>0</v>
      </c>
      <c r="DF244">
        <v>0</v>
      </c>
      <c r="DG244">
        <v>0</v>
      </c>
      <c r="DH244">
        <v>0</v>
      </c>
      <c r="DI244">
        <v>0</v>
      </c>
    </row>
    <row r="245" spans="1:113" x14ac:dyDescent="0.3">
      <c r="A245" t="str">
        <f>"09/28/2021 13:52:33.009"</f>
        <v>09/28/2021 13:52:33.009</v>
      </c>
      <c r="C245" t="str">
        <f t="shared" si="14"/>
        <v>FFDFD3C0</v>
      </c>
      <c r="D245" t="s">
        <v>113</v>
      </c>
      <c r="E245">
        <v>7</v>
      </c>
      <c r="H245">
        <v>170</v>
      </c>
      <c r="I245" t="s">
        <v>114</v>
      </c>
      <c r="J245" t="s">
        <v>115</v>
      </c>
      <c r="K245">
        <v>0</v>
      </c>
      <c r="L245">
        <v>3</v>
      </c>
      <c r="M245">
        <v>0</v>
      </c>
      <c r="N245">
        <v>2</v>
      </c>
      <c r="O245">
        <v>1</v>
      </c>
      <c r="P245">
        <v>0</v>
      </c>
      <c r="Q245">
        <v>0</v>
      </c>
      <c r="S245" t="str">
        <f>"13:52:32.805"</f>
        <v>13:52:32.805</v>
      </c>
      <c r="T245" t="str">
        <f>"13:52:32.305"</f>
        <v>13:52:32.305</v>
      </c>
      <c r="U245" t="str">
        <f t="shared" si="13"/>
        <v>A92BC1</v>
      </c>
      <c r="V245">
        <v>0</v>
      </c>
      <c r="W245">
        <v>0</v>
      </c>
      <c r="X245">
        <v>2</v>
      </c>
      <c r="Z245">
        <v>0</v>
      </c>
      <c r="AA245">
        <v>9</v>
      </c>
      <c r="AB245">
        <v>3</v>
      </c>
      <c r="AC245">
        <v>0</v>
      </c>
      <c r="AD245">
        <v>10</v>
      </c>
      <c r="AE245">
        <v>0</v>
      </c>
      <c r="AF245">
        <v>3</v>
      </c>
      <c r="AG245">
        <v>2</v>
      </c>
      <c r="AH245">
        <v>0</v>
      </c>
      <c r="AI245" t="s">
        <v>346</v>
      </c>
      <c r="AJ245">
        <v>45.685766000000001</v>
      </c>
      <c r="AK245" t="s">
        <v>347</v>
      </c>
      <c r="AL245">
        <v>-89.458258000000001</v>
      </c>
      <c r="AM245">
        <v>100</v>
      </c>
      <c r="AN245">
        <v>6000</v>
      </c>
      <c r="AO245" t="s">
        <v>118</v>
      </c>
      <c r="AP245">
        <v>124</v>
      </c>
      <c r="AQ245">
        <v>98</v>
      </c>
      <c r="AR245">
        <v>2304</v>
      </c>
      <c r="AZ245">
        <v>1200</v>
      </c>
      <c r="BA245">
        <v>1</v>
      </c>
      <c r="BB245" t="str">
        <f t="shared" si="15"/>
        <v xml:space="preserve">N690LS  </v>
      </c>
      <c r="BC245">
        <v>1</v>
      </c>
      <c r="BE245">
        <v>0</v>
      </c>
      <c r="BF245">
        <v>0</v>
      </c>
      <c r="BG245">
        <v>0</v>
      </c>
      <c r="BH245">
        <v>6100</v>
      </c>
      <c r="BI245">
        <v>1</v>
      </c>
      <c r="BJ245">
        <v>1</v>
      </c>
      <c r="BK245">
        <v>1</v>
      </c>
      <c r="BL245">
        <v>0</v>
      </c>
      <c r="BO245">
        <v>0</v>
      </c>
      <c r="BP245">
        <v>0</v>
      </c>
      <c r="BW245" t="str">
        <f>"13:52:32.805"</f>
        <v>13:52:32.805</v>
      </c>
      <c r="CJ245">
        <v>0</v>
      </c>
      <c r="CK245">
        <v>2</v>
      </c>
      <c r="CL245">
        <v>0</v>
      </c>
      <c r="CM245">
        <v>2</v>
      </c>
      <c r="CN245">
        <v>0</v>
      </c>
      <c r="CO245">
        <v>5</v>
      </c>
      <c r="CP245" t="s">
        <v>119</v>
      </c>
      <c r="CQ245">
        <v>209</v>
      </c>
      <c r="CR245">
        <v>3</v>
      </c>
      <c r="CW245">
        <v>7149702</v>
      </c>
      <c r="CY245">
        <v>1</v>
      </c>
      <c r="CZ245">
        <v>0</v>
      </c>
      <c r="DA245">
        <v>0</v>
      </c>
      <c r="DB245">
        <v>0</v>
      </c>
      <c r="DC245">
        <v>0</v>
      </c>
      <c r="DD245">
        <v>0</v>
      </c>
      <c r="DE245">
        <v>0</v>
      </c>
      <c r="DF245">
        <v>0</v>
      </c>
      <c r="DG245">
        <v>0</v>
      </c>
      <c r="DH245">
        <v>0</v>
      </c>
      <c r="DI245">
        <v>0</v>
      </c>
    </row>
    <row r="246" spans="1:113" x14ac:dyDescent="0.3">
      <c r="A246" t="str">
        <f>"09/28/2021 13:52:33.009"</f>
        <v>09/28/2021 13:52:33.009</v>
      </c>
      <c r="C246" t="str">
        <f t="shared" si="14"/>
        <v>FFDFD3C0</v>
      </c>
      <c r="D246" t="s">
        <v>120</v>
      </c>
      <c r="E246">
        <v>12</v>
      </c>
      <c r="F246">
        <v>1012</v>
      </c>
      <c r="G246" t="s">
        <v>114</v>
      </c>
      <c r="J246" t="s">
        <v>121</v>
      </c>
      <c r="K246">
        <v>0</v>
      </c>
      <c r="L246">
        <v>3</v>
      </c>
      <c r="M246">
        <v>0</v>
      </c>
      <c r="N246">
        <v>2</v>
      </c>
      <c r="O246">
        <v>1</v>
      </c>
      <c r="P246">
        <v>0</v>
      </c>
      <c r="Q246">
        <v>0</v>
      </c>
      <c r="S246" t="str">
        <f>"13:52:32.805"</f>
        <v>13:52:32.805</v>
      </c>
      <c r="T246" t="str">
        <f>"13:52:32.305"</f>
        <v>13:52:32.305</v>
      </c>
      <c r="U246" t="str">
        <f t="shared" si="13"/>
        <v>A92BC1</v>
      </c>
      <c r="V246">
        <v>0</v>
      </c>
      <c r="W246">
        <v>0</v>
      </c>
      <c r="X246">
        <v>2</v>
      </c>
      <c r="Z246">
        <v>0</v>
      </c>
      <c r="AA246">
        <v>9</v>
      </c>
      <c r="AB246">
        <v>3</v>
      </c>
      <c r="AC246">
        <v>0</v>
      </c>
      <c r="AD246">
        <v>10</v>
      </c>
      <c r="AE246">
        <v>0</v>
      </c>
      <c r="AF246">
        <v>3</v>
      </c>
      <c r="AG246">
        <v>2</v>
      </c>
      <c r="AH246">
        <v>0</v>
      </c>
      <c r="AI246" t="s">
        <v>346</v>
      </c>
      <c r="AJ246">
        <v>45.685766000000001</v>
      </c>
      <c r="AK246" t="s">
        <v>347</v>
      </c>
      <c r="AL246">
        <v>-89.458258000000001</v>
      </c>
      <c r="AM246">
        <v>100</v>
      </c>
      <c r="AN246">
        <v>6000</v>
      </c>
      <c r="AO246" t="s">
        <v>118</v>
      </c>
      <c r="AP246">
        <v>124</v>
      </c>
      <c r="AQ246">
        <v>98</v>
      </c>
      <c r="AR246">
        <v>2304</v>
      </c>
      <c r="AZ246">
        <v>1200</v>
      </c>
      <c r="BA246">
        <v>1</v>
      </c>
      <c r="BB246" t="str">
        <f t="shared" si="15"/>
        <v xml:space="preserve">N690LS  </v>
      </c>
      <c r="BC246">
        <v>1</v>
      </c>
      <c r="BE246">
        <v>0</v>
      </c>
      <c r="BF246">
        <v>0</v>
      </c>
      <c r="BG246">
        <v>0</v>
      </c>
      <c r="BH246">
        <v>6100</v>
      </c>
      <c r="BI246">
        <v>1</v>
      </c>
      <c r="BJ246">
        <v>1</v>
      </c>
      <c r="BK246">
        <v>1</v>
      </c>
      <c r="BL246">
        <v>0</v>
      </c>
      <c r="BO246">
        <v>0</v>
      </c>
      <c r="BP246">
        <v>0</v>
      </c>
      <c r="BW246" t="str">
        <f>"13:52:32.805"</f>
        <v>13:52:32.805</v>
      </c>
      <c r="CJ246">
        <v>0</v>
      </c>
      <c r="CK246">
        <v>2</v>
      </c>
      <c r="CL246">
        <v>0</v>
      </c>
      <c r="CM246">
        <v>2</v>
      </c>
      <c r="CN246">
        <v>0</v>
      </c>
      <c r="CO246">
        <v>5</v>
      </c>
      <c r="CP246" t="s">
        <v>119</v>
      </c>
      <c r="CQ246">
        <v>464</v>
      </c>
      <c r="CR246">
        <v>3</v>
      </c>
      <c r="CW246">
        <v>5366407</v>
      </c>
      <c r="CY246">
        <v>1</v>
      </c>
      <c r="CZ246">
        <v>0</v>
      </c>
      <c r="DA246">
        <v>1</v>
      </c>
      <c r="DB246">
        <v>0</v>
      </c>
      <c r="DC246">
        <v>0</v>
      </c>
      <c r="DD246">
        <v>0</v>
      </c>
      <c r="DE246">
        <v>0</v>
      </c>
      <c r="DF246">
        <v>0</v>
      </c>
      <c r="DG246">
        <v>0</v>
      </c>
      <c r="DH246">
        <v>0</v>
      </c>
      <c r="DI246">
        <v>0</v>
      </c>
    </row>
    <row r="247" spans="1:113" x14ac:dyDescent="0.3">
      <c r="A247" t="str">
        <f>"09/28/2021 13:52:33.995"</f>
        <v>09/28/2021 13:52:33.995</v>
      </c>
      <c r="C247" t="str">
        <f t="shared" si="14"/>
        <v>FFDFD3C0</v>
      </c>
      <c r="D247" t="s">
        <v>113</v>
      </c>
      <c r="E247">
        <v>7</v>
      </c>
      <c r="H247">
        <v>170</v>
      </c>
      <c r="I247" t="s">
        <v>114</v>
      </c>
      <c r="J247" t="s">
        <v>115</v>
      </c>
      <c r="K247">
        <v>0</v>
      </c>
      <c r="L247">
        <v>3</v>
      </c>
      <c r="M247">
        <v>0</v>
      </c>
      <c r="N247">
        <v>2</v>
      </c>
      <c r="O247">
        <v>1</v>
      </c>
      <c r="P247">
        <v>0</v>
      </c>
      <c r="Q247">
        <v>0</v>
      </c>
      <c r="S247" t="str">
        <f>"13:52:33.836"</f>
        <v>13:52:33.836</v>
      </c>
      <c r="T247" t="str">
        <f>"13:52:33.436"</f>
        <v>13:52:33.436</v>
      </c>
      <c r="U247" t="str">
        <f t="shared" si="13"/>
        <v>A92BC1</v>
      </c>
      <c r="V247">
        <v>0</v>
      </c>
      <c r="W247">
        <v>0</v>
      </c>
      <c r="X247">
        <v>2</v>
      </c>
      <c r="Z247">
        <v>0</v>
      </c>
      <c r="AA247">
        <v>9</v>
      </c>
      <c r="AB247">
        <v>3</v>
      </c>
      <c r="AC247">
        <v>0</v>
      </c>
      <c r="AD247">
        <v>10</v>
      </c>
      <c r="AE247">
        <v>0</v>
      </c>
      <c r="AF247">
        <v>3</v>
      </c>
      <c r="AG247">
        <v>2</v>
      </c>
      <c r="AH247">
        <v>0</v>
      </c>
      <c r="AI247" t="s">
        <v>348</v>
      </c>
      <c r="AJ247">
        <v>45.686281000000001</v>
      </c>
      <c r="AK247" t="s">
        <v>349</v>
      </c>
      <c r="AL247">
        <v>-89.457335</v>
      </c>
      <c r="AM247">
        <v>100</v>
      </c>
      <c r="AN247">
        <v>6000</v>
      </c>
      <c r="AO247" t="s">
        <v>118</v>
      </c>
      <c r="AP247">
        <v>123</v>
      </c>
      <c r="AQ247">
        <v>98</v>
      </c>
      <c r="AR247">
        <v>2304</v>
      </c>
      <c r="AZ247">
        <v>1200</v>
      </c>
      <c r="BA247">
        <v>1</v>
      </c>
      <c r="BB247" t="str">
        <f t="shared" si="15"/>
        <v xml:space="preserve">N690LS  </v>
      </c>
      <c r="BC247">
        <v>1</v>
      </c>
      <c r="BE247">
        <v>0</v>
      </c>
      <c r="BF247">
        <v>0</v>
      </c>
      <c r="BG247">
        <v>0</v>
      </c>
      <c r="BH247">
        <v>6125</v>
      </c>
      <c r="BI247">
        <v>1</v>
      </c>
      <c r="BJ247">
        <v>1</v>
      </c>
      <c r="BK247">
        <v>1</v>
      </c>
      <c r="BL247">
        <v>0</v>
      </c>
      <c r="BO247">
        <v>0</v>
      </c>
      <c r="BP247">
        <v>0</v>
      </c>
      <c r="BW247" t="str">
        <f>"13:52:33.837"</f>
        <v>13:52:33.837</v>
      </c>
      <c r="CJ247">
        <v>0</v>
      </c>
      <c r="CK247">
        <v>2</v>
      </c>
      <c r="CL247">
        <v>0</v>
      </c>
      <c r="CM247">
        <v>2</v>
      </c>
      <c r="CN247">
        <v>0</v>
      </c>
      <c r="CO247">
        <v>5</v>
      </c>
      <c r="CP247" t="s">
        <v>119</v>
      </c>
      <c r="CQ247">
        <v>209</v>
      </c>
      <c r="CR247">
        <v>3</v>
      </c>
      <c r="CW247">
        <v>7150009</v>
      </c>
      <c r="CY247">
        <v>1</v>
      </c>
      <c r="CZ247">
        <v>0</v>
      </c>
      <c r="DA247">
        <v>0</v>
      </c>
      <c r="DB247">
        <v>0</v>
      </c>
      <c r="DC247">
        <v>0</v>
      </c>
      <c r="DD247">
        <v>0</v>
      </c>
      <c r="DE247">
        <v>0</v>
      </c>
      <c r="DF247">
        <v>0</v>
      </c>
      <c r="DG247">
        <v>0</v>
      </c>
      <c r="DH247">
        <v>0</v>
      </c>
      <c r="DI247">
        <v>0</v>
      </c>
    </row>
    <row r="248" spans="1:113" x14ac:dyDescent="0.3">
      <c r="A248" t="str">
        <f>"09/28/2021 13:52:34.057"</f>
        <v>09/28/2021 13:52:34.057</v>
      </c>
      <c r="C248" t="str">
        <f t="shared" si="14"/>
        <v>FFDFD3C0</v>
      </c>
      <c r="D248" t="s">
        <v>120</v>
      </c>
      <c r="E248">
        <v>12</v>
      </c>
      <c r="F248">
        <v>1012</v>
      </c>
      <c r="G248" t="s">
        <v>114</v>
      </c>
      <c r="J248" t="s">
        <v>121</v>
      </c>
      <c r="K248">
        <v>0</v>
      </c>
      <c r="L248">
        <v>3</v>
      </c>
      <c r="M248">
        <v>0</v>
      </c>
      <c r="N248">
        <v>2</v>
      </c>
      <c r="O248">
        <v>1</v>
      </c>
      <c r="P248">
        <v>0</v>
      </c>
      <c r="Q248">
        <v>0</v>
      </c>
      <c r="S248" t="str">
        <f>"13:52:33.836"</f>
        <v>13:52:33.836</v>
      </c>
      <c r="T248" t="str">
        <f>"13:52:33.436"</f>
        <v>13:52:33.436</v>
      </c>
      <c r="U248" t="str">
        <f t="shared" si="13"/>
        <v>A92BC1</v>
      </c>
      <c r="V248">
        <v>0</v>
      </c>
      <c r="W248">
        <v>0</v>
      </c>
      <c r="X248">
        <v>2</v>
      </c>
      <c r="Z248">
        <v>0</v>
      </c>
      <c r="AA248">
        <v>9</v>
      </c>
      <c r="AB248">
        <v>3</v>
      </c>
      <c r="AC248">
        <v>0</v>
      </c>
      <c r="AD248">
        <v>10</v>
      </c>
      <c r="AE248">
        <v>0</v>
      </c>
      <c r="AF248">
        <v>3</v>
      </c>
      <c r="AG248">
        <v>2</v>
      </c>
      <c r="AH248">
        <v>0</v>
      </c>
      <c r="AI248" t="s">
        <v>348</v>
      </c>
      <c r="AJ248">
        <v>45.686281000000001</v>
      </c>
      <c r="AK248" t="s">
        <v>349</v>
      </c>
      <c r="AL248">
        <v>-89.457335</v>
      </c>
      <c r="AM248">
        <v>100</v>
      </c>
      <c r="AN248">
        <v>6000</v>
      </c>
      <c r="AO248" t="s">
        <v>118</v>
      </c>
      <c r="AP248">
        <v>123</v>
      </c>
      <c r="AQ248">
        <v>98</v>
      </c>
      <c r="AR248">
        <v>2304</v>
      </c>
      <c r="AZ248">
        <v>1200</v>
      </c>
      <c r="BA248">
        <v>1</v>
      </c>
      <c r="BB248" t="str">
        <f t="shared" si="15"/>
        <v xml:space="preserve">N690LS  </v>
      </c>
      <c r="BC248">
        <v>1</v>
      </c>
      <c r="BE248">
        <v>0</v>
      </c>
      <c r="BF248">
        <v>0</v>
      </c>
      <c r="BG248">
        <v>0</v>
      </c>
      <c r="BH248">
        <v>6125</v>
      </c>
      <c r="BI248">
        <v>1</v>
      </c>
      <c r="BJ248">
        <v>1</v>
      </c>
      <c r="BK248">
        <v>1</v>
      </c>
      <c r="BL248">
        <v>0</v>
      </c>
      <c r="BO248">
        <v>0</v>
      </c>
      <c r="BP248">
        <v>0</v>
      </c>
      <c r="BW248" t="str">
        <f>"13:52:33.838"</f>
        <v>13:52:33.838</v>
      </c>
      <c r="CJ248">
        <v>0</v>
      </c>
      <c r="CK248">
        <v>2</v>
      </c>
      <c r="CL248">
        <v>0</v>
      </c>
      <c r="CM248">
        <v>2</v>
      </c>
      <c r="CN248">
        <v>0</v>
      </c>
      <c r="CO248">
        <v>5</v>
      </c>
      <c r="CP248" t="s">
        <v>119</v>
      </c>
      <c r="CQ248">
        <v>464</v>
      </c>
      <c r="CR248">
        <v>3</v>
      </c>
      <c r="CW248">
        <v>5367336</v>
      </c>
      <c r="CY248">
        <v>1</v>
      </c>
      <c r="CZ248">
        <v>0</v>
      </c>
      <c r="DA248">
        <v>1</v>
      </c>
      <c r="DB248">
        <v>0</v>
      </c>
      <c r="DC248">
        <v>0</v>
      </c>
      <c r="DD248">
        <v>0</v>
      </c>
      <c r="DE248">
        <v>0</v>
      </c>
      <c r="DF248">
        <v>0</v>
      </c>
      <c r="DG248">
        <v>0</v>
      </c>
      <c r="DH248">
        <v>0</v>
      </c>
      <c r="DI248">
        <v>0</v>
      </c>
    </row>
    <row r="249" spans="1:113" x14ac:dyDescent="0.3">
      <c r="A249" t="str">
        <f>"09/28/2021 13:52:35.120"</f>
        <v>09/28/2021 13:52:35.120</v>
      </c>
      <c r="C249" t="str">
        <f t="shared" si="14"/>
        <v>FFDFD3C0</v>
      </c>
      <c r="D249" t="s">
        <v>120</v>
      </c>
      <c r="E249">
        <v>12</v>
      </c>
      <c r="F249">
        <v>1012</v>
      </c>
      <c r="G249" t="s">
        <v>114</v>
      </c>
      <c r="J249" t="s">
        <v>121</v>
      </c>
      <c r="K249">
        <v>0</v>
      </c>
      <c r="L249">
        <v>3</v>
      </c>
      <c r="M249">
        <v>0</v>
      </c>
      <c r="N249">
        <v>2</v>
      </c>
      <c r="O249">
        <v>1</v>
      </c>
      <c r="P249">
        <v>0</v>
      </c>
      <c r="Q249">
        <v>0</v>
      </c>
      <c r="S249" t="str">
        <f>"13:52:34.844"</f>
        <v>13:52:34.844</v>
      </c>
      <c r="T249" t="str">
        <f>"13:52:34.444"</f>
        <v>13:52:34.444</v>
      </c>
      <c r="U249" t="str">
        <f t="shared" si="13"/>
        <v>A92BC1</v>
      </c>
      <c r="V249">
        <v>0</v>
      </c>
      <c r="W249">
        <v>0</v>
      </c>
      <c r="X249">
        <v>2</v>
      </c>
      <c r="Z249">
        <v>0</v>
      </c>
      <c r="AA249">
        <v>9</v>
      </c>
      <c r="AB249">
        <v>3</v>
      </c>
      <c r="AC249">
        <v>0</v>
      </c>
      <c r="AD249">
        <v>10</v>
      </c>
      <c r="AE249">
        <v>0</v>
      </c>
      <c r="AF249">
        <v>3</v>
      </c>
      <c r="AG249">
        <v>2</v>
      </c>
      <c r="AH249">
        <v>0</v>
      </c>
      <c r="AI249" t="s">
        <v>350</v>
      </c>
      <c r="AJ249">
        <v>45.686687999999997</v>
      </c>
      <c r="AK249" t="s">
        <v>351</v>
      </c>
      <c r="AL249">
        <v>-89.456519999999998</v>
      </c>
      <c r="AM249">
        <v>100</v>
      </c>
      <c r="AN249">
        <v>6100</v>
      </c>
      <c r="AO249" t="s">
        <v>118</v>
      </c>
      <c r="AP249">
        <v>123</v>
      </c>
      <c r="AQ249">
        <v>98</v>
      </c>
      <c r="AR249">
        <v>2304</v>
      </c>
      <c r="AZ249">
        <v>1200</v>
      </c>
      <c r="BA249">
        <v>1</v>
      </c>
      <c r="BB249" t="str">
        <f t="shared" si="15"/>
        <v xml:space="preserve">N690LS  </v>
      </c>
      <c r="BC249">
        <v>1</v>
      </c>
      <c r="BE249">
        <v>0</v>
      </c>
      <c r="BF249">
        <v>0</v>
      </c>
      <c r="BG249">
        <v>0</v>
      </c>
      <c r="BH249">
        <v>6175</v>
      </c>
      <c r="BI249">
        <v>1</v>
      </c>
      <c r="BJ249">
        <v>1</v>
      </c>
      <c r="BK249">
        <v>1</v>
      </c>
      <c r="BL249">
        <v>0</v>
      </c>
      <c r="BO249">
        <v>0</v>
      </c>
      <c r="BP249">
        <v>0</v>
      </c>
      <c r="BW249" t="str">
        <f>"13:52:34.849"</f>
        <v>13:52:34.849</v>
      </c>
      <c r="CJ249">
        <v>0</v>
      </c>
      <c r="CK249">
        <v>2</v>
      </c>
      <c r="CL249">
        <v>0</v>
      </c>
      <c r="CM249">
        <v>2</v>
      </c>
      <c r="CN249">
        <v>0</v>
      </c>
      <c r="CO249">
        <v>5</v>
      </c>
      <c r="CP249" t="s">
        <v>119</v>
      </c>
      <c r="CQ249">
        <v>464</v>
      </c>
      <c r="CR249">
        <v>3</v>
      </c>
      <c r="CW249">
        <v>5368194</v>
      </c>
      <c r="CY249">
        <v>1</v>
      </c>
      <c r="CZ249">
        <v>0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  <c r="DG249">
        <v>0</v>
      </c>
      <c r="DH249">
        <v>0</v>
      </c>
      <c r="DI249">
        <v>0</v>
      </c>
    </row>
    <row r="250" spans="1:113" x14ac:dyDescent="0.3">
      <c r="A250" t="str">
        <f>"09/28/2021 13:52:35.120"</f>
        <v>09/28/2021 13:52:35.120</v>
      </c>
      <c r="C250" t="str">
        <f t="shared" si="14"/>
        <v>FFDFD3C0</v>
      </c>
      <c r="D250" t="s">
        <v>113</v>
      </c>
      <c r="E250">
        <v>7</v>
      </c>
      <c r="H250">
        <v>170</v>
      </c>
      <c r="I250" t="s">
        <v>114</v>
      </c>
      <c r="J250" t="s">
        <v>115</v>
      </c>
      <c r="K250">
        <v>0</v>
      </c>
      <c r="L250">
        <v>3</v>
      </c>
      <c r="M250">
        <v>0</v>
      </c>
      <c r="N250">
        <v>2</v>
      </c>
      <c r="O250">
        <v>1</v>
      </c>
      <c r="P250">
        <v>0</v>
      </c>
      <c r="Q250">
        <v>0</v>
      </c>
      <c r="S250" t="str">
        <f>"13:52:34.844"</f>
        <v>13:52:34.844</v>
      </c>
      <c r="T250" t="str">
        <f>"13:52:34.444"</f>
        <v>13:52:34.444</v>
      </c>
      <c r="U250" t="str">
        <f t="shared" si="13"/>
        <v>A92BC1</v>
      </c>
      <c r="V250">
        <v>0</v>
      </c>
      <c r="W250">
        <v>0</v>
      </c>
      <c r="X250">
        <v>2</v>
      </c>
      <c r="Z250">
        <v>0</v>
      </c>
      <c r="AA250">
        <v>9</v>
      </c>
      <c r="AB250">
        <v>3</v>
      </c>
      <c r="AC250">
        <v>0</v>
      </c>
      <c r="AD250">
        <v>10</v>
      </c>
      <c r="AE250">
        <v>0</v>
      </c>
      <c r="AF250">
        <v>3</v>
      </c>
      <c r="AG250">
        <v>2</v>
      </c>
      <c r="AH250">
        <v>0</v>
      </c>
      <c r="AI250" t="s">
        <v>350</v>
      </c>
      <c r="AJ250">
        <v>45.686687999999997</v>
      </c>
      <c r="AK250" t="s">
        <v>351</v>
      </c>
      <c r="AL250">
        <v>-89.456519999999998</v>
      </c>
      <c r="AM250">
        <v>100</v>
      </c>
      <c r="AN250">
        <v>6100</v>
      </c>
      <c r="AO250" t="s">
        <v>118</v>
      </c>
      <c r="AP250">
        <v>123</v>
      </c>
      <c r="AQ250">
        <v>98</v>
      </c>
      <c r="AR250">
        <v>2304</v>
      </c>
      <c r="AZ250">
        <v>1200</v>
      </c>
      <c r="BA250">
        <v>1</v>
      </c>
      <c r="BB250" t="str">
        <f t="shared" si="15"/>
        <v xml:space="preserve">N690LS  </v>
      </c>
      <c r="BC250">
        <v>1</v>
      </c>
      <c r="BE250">
        <v>0</v>
      </c>
      <c r="BF250">
        <v>0</v>
      </c>
      <c r="BG250">
        <v>0</v>
      </c>
      <c r="BH250">
        <v>6175</v>
      </c>
      <c r="BI250">
        <v>1</v>
      </c>
      <c r="BJ250">
        <v>1</v>
      </c>
      <c r="BK250">
        <v>1</v>
      </c>
      <c r="BL250">
        <v>0</v>
      </c>
      <c r="BO250">
        <v>0</v>
      </c>
      <c r="BP250">
        <v>0</v>
      </c>
      <c r="BW250" t="str">
        <f>"13:52:34.848"</f>
        <v>13:52:34.848</v>
      </c>
      <c r="CJ250">
        <v>0</v>
      </c>
      <c r="CK250">
        <v>2</v>
      </c>
      <c r="CL250">
        <v>0</v>
      </c>
      <c r="CM250">
        <v>2</v>
      </c>
      <c r="CN250">
        <v>0</v>
      </c>
      <c r="CO250">
        <v>5</v>
      </c>
      <c r="CP250" t="s">
        <v>119</v>
      </c>
      <c r="CQ250">
        <v>209</v>
      </c>
      <c r="CR250">
        <v>3</v>
      </c>
      <c r="CW250">
        <v>7150306</v>
      </c>
      <c r="CY250">
        <v>1</v>
      </c>
      <c r="CZ250">
        <v>0</v>
      </c>
      <c r="DA250">
        <v>1</v>
      </c>
      <c r="DB250">
        <v>0</v>
      </c>
      <c r="DC250">
        <v>0</v>
      </c>
      <c r="DD250">
        <v>0</v>
      </c>
      <c r="DE250">
        <v>0</v>
      </c>
      <c r="DF250">
        <v>0</v>
      </c>
      <c r="DG250">
        <v>0</v>
      </c>
      <c r="DH250">
        <v>0</v>
      </c>
      <c r="DI250">
        <v>0</v>
      </c>
    </row>
    <row r="251" spans="1:113" x14ac:dyDescent="0.3">
      <c r="A251" t="str">
        <f>"09/28/2021 13:52:36.010"</f>
        <v>09/28/2021 13:52:36.010</v>
      </c>
      <c r="C251" t="str">
        <f t="shared" si="14"/>
        <v>FFDFD3C0</v>
      </c>
      <c r="D251" t="s">
        <v>113</v>
      </c>
      <c r="E251">
        <v>7</v>
      </c>
      <c r="H251">
        <v>170</v>
      </c>
      <c r="I251" t="s">
        <v>114</v>
      </c>
      <c r="J251" t="s">
        <v>115</v>
      </c>
      <c r="K251">
        <v>0</v>
      </c>
      <c r="L251">
        <v>3</v>
      </c>
      <c r="M251">
        <v>0</v>
      </c>
      <c r="N251">
        <v>2</v>
      </c>
      <c r="O251">
        <v>1</v>
      </c>
      <c r="P251">
        <v>0</v>
      </c>
      <c r="Q251">
        <v>0</v>
      </c>
      <c r="S251" t="str">
        <f>"13:52:35.820"</f>
        <v>13:52:35.820</v>
      </c>
      <c r="T251" t="str">
        <f>"13:52:35.320"</f>
        <v>13:52:35.320</v>
      </c>
      <c r="U251" t="str">
        <f t="shared" si="13"/>
        <v>A92BC1</v>
      </c>
      <c r="V251">
        <v>0</v>
      </c>
      <c r="W251">
        <v>0</v>
      </c>
      <c r="X251">
        <v>2</v>
      </c>
      <c r="Z251">
        <v>0</v>
      </c>
      <c r="AA251">
        <v>9</v>
      </c>
      <c r="AB251">
        <v>3</v>
      </c>
      <c r="AC251">
        <v>0</v>
      </c>
      <c r="AD251">
        <v>10</v>
      </c>
      <c r="AE251">
        <v>0</v>
      </c>
      <c r="AF251">
        <v>3</v>
      </c>
      <c r="AG251">
        <v>2</v>
      </c>
      <c r="AH251">
        <v>0</v>
      </c>
      <c r="AI251" t="s">
        <v>352</v>
      </c>
      <c r="AJ251">
        <v>45.687159999999999</v>
      </c>
      <c r="AK251" t="s">
        <v>353</v>
      </c>
      <c r="AL251">
        <v>-89.455704999999995</v>
      </c>
      <c r="AM251">
        <v>100</v>
      </c>
      <c r="AN251">
        <v>6100</v>
      </c>
      <c r="AO251" t="s">
        <v>118</v>
      </c>
      <c r="AP251">
        <v>123</v>
      </c>
      <c r="AQ251">
        <v>98</v>
      </c>
      <c r="AR251">
        <v>2304</v>
      </c>
      <c r="AZ251">
        <v>1200</v>
      </c>
      <c r="BA251">
        <v>1</v>
      </c>
      <c r="BB251" t="str">
        <f t="shared" si="15"/>
        <v xml:space="preserve">N690LS  </v>
      </c>
      <c r="BC251">
        <v>1</v>
      </c>
      <c r="BE251">
        <v>0</v>
      </c>
      <c r="BF251">
        <v>0</v>
      </c>
      <c r="BG251">
        <v>0</v>
      </c>
      <c r="BH251">
        <v>6200</v>
      </c>
      <c r="BI251">
        <v>1</v>
      </c>
      <c r="BJ251">
        <v>1</v>
      </c>
      <c r="BK251">
        <v>1</v>
      </c>
      <c r="BL251">
        <v>0</v>
      </c>
      <c r="BO251">
        <v>0</v>
      </c>
      <c r="BP251">
        <v>0</v>
      </c>
      <c r="BW251" t="str">
        <f>"13:52:35.826"</f>
        <v>13:52:35.826</v>
      </c>
      <c r="CJ251">
        <v>0</v>
      </c>
      <c r="CK251">
        <v>2</v>
      </c>
      <c r="CL251">
        <v>0</v>
      </c>
      <c r="CM251">
        <v>2</v>
      </c>
      <c r="CN251">
        <v>0</v>
      </c>
      <c r="CO251">
        <v>7</v>
      </c>
      <c r="CP251" t="s">
        <v>119</v>
      </c>
      <c r="CQ251">
        <v>197</v>
      </c>
      <c r="CR251">
        <v>1</v>
      </c>
      <c r="CW251">
        <v>7096696</v>
      </c>
      <c r="CY251">
        <v>1</v>
      </c>
      <c r="CZ251">
        <v>0</v>
      </c>
      <c r="DA251">
        <v>0</v>
      </c>
      <c r="DB251">
        <v>0</v>
      </c>
      <c r="DC251">
        <v>0</v>
      </c>
      <c r="DD251">
        <v>0</v>
      </c>
      <c r="DE251">
        <v>0</v>
      </c>
      <c r="DF251">
        <v>0</v>
      </c>
      <c r="DG251">
        <v>0</v>
      </c>
      <c r="DH251">
        <v>0</v>
      </c>
      <c r="DI251">
        <v>0</v>
      </c>
    </row>
    <row r="252" spans="1:113" x14ac:dyDescent="0.3">
      <c r="A252" t="str">
        <f>"09/28/2021 13:52:36.010"</f>
        <v>09/28/2021 13:52:36.010</v>
      </c>
      <c r="C252" t="str">
        <f t="shared" si="14"/>
        <v>FFDFD3C0</v>
      </c>
      <c r="D252" t="s">
        <v>120</v>
      </c>
      <c r="E252">
        <v>12</v>
      </c>
      <c r="F252">
        <v>1012</v>
      </c>
      <c r="G252" t="s">
        <v>114</v>
      </c>
      <c r="J252" t="s">
        <v>121</v>
      </c>
      <c r="K252">
        <v>0</v>
      </c>
      <c r="L252">
        <v>3</v>
      </c>
      <c r="M252">
        <v>0</v>
      </c>
      <c r="N252">
        <v>2</v>
      </c>
      <c r="O252">
        <v>1</v>
      </c>
      <c r="P252">
        <v>0</v>
      </c>
      <c r="Q252">
        <v>0</v>
      </c>
      <c r="S252" t="str">
        <f>"13:52:35.820"</f>
        <v>13:52:35.820</v>
      </c>
      <c r="T252" t="str">
        <f>"13:52:35.320"</f>
        <v>13:52:35.320</v>
      </c>
      <c r="U252" t="str">
        <f t="shared" si="13"/>
        <v>A92BC1</v>
      </c>
      <c r="V252">
        <v>0</v>
      </c>
      <c r="W252">
        <v>0</v>
      </c>
      <c r="X252">
        <v>2</v>
      </c>
      <c r="Z252">
        <v>0</v>
      </c>
      <c r="AA252">
        <v>9</v>
      </c>
      <c r="AB252">
        <v>3</v>
      </c>
      <c r="AC252">
        <v>0</v>
      </c>
      <c r="AD252">
        <v>10</v>
      </c>
      <c r="AE252">
        <v>0</v>
      </c>
      <c r="AF252">
        <v>3</v>
      </c>
      <c r="AG252">
        <v>2</v>
      </c>
      <c r="AH252">
        <v>0</v>
      </c>
      <c r="AI252" t="s">
        <v>352</v>
      </c>
      <c r="AJ252">
        <v>45.687159999999999</v>
      </c>
      <c r="AK252" t="s">
        <v>353</v>
      </c>
      <c r="AL252">
        <v>-89.455704999999995</v>
      </c>
      <c r="AM252">
        <v>100</v>
      </c>
      <c r="AN252">
        <v>6100</v>
      </c>
      <c r="AO252" t="s">
        <v>118</v>
      </c>
      <c r="AP252">
        <v>123</v>
      </c>
      <c r="AQ252">
        <v>98</v>
      </c>
      <c r="AR252">
        <v>2304</v>
      </c>
      <c r="AZ252">
        <v>1200</v>
      </c>
      <c r="BA252">
        <v>1</v>
      </c>
      <c r="BB252" t="str">
        <f t="shared" si="15"/>
        <v xml:space="preserve">N690LS  </v>
      </c>
      <c r="BC252">
        <v>1</v>
      </c>
      <c r="BE252">
        <v>0</v>
      </c>
      <c r="BF252">
        <v>0</v>
      </c>
      <c r="BG252">
        <v>0</v>
      </c>
      <c r="BH252">
        <v>6200</v>
      </c>
      <c r="BI252">
        <v>1</v>
      </c>
      <c r="BJ252">
        <v>1</v>
      </c>
      <c r="BK252">
        <v>1</v>
      </c>
      <c r="BL252">
        <v>0</v>
      </c>
      <c r="BO252">
        <v>0</v>
      </c>
      <c r="BP252">
        <v>0</v>
      </c>
      <c r="BW252" t="str">
        <f>"13:52:35.826"</f>
        <v>13:52:35.826</v>
      </c>
      <c r="CJ252">
        <v>0</v>
      </c>
      <c r="CK252">
        <v>2</v>
      </c>
      <c r="CL252">
        <v>0</v>
      </c>
      <c r="CM252">
        <v>2</v>
      </c>
      <c r="CN252">
        <v>0</v>
      </c>
      <c r="CO252">
        <v>7</v>
      </c>
      <c r="CP252" t="s">
        <v>119</v>
      </c>
      <c r="CQ252">
        <v>197</v>
      </c>
      <c r="CR252">
        <v>1</v>
      </c>
      <c r="CW252">
        <v>7096696</v>
      </c>
      <c r="CY252">
        <v>1</v>
      </c>
      <c r="CZ252">
        <v>0</v>
      </c>
      <c r="DA252">
        <v>1</v>
      </c>
      <c r="DB252">
        <v>0</v>
      </c>
      <c r="DC252">
        <v>0</v>
      </c>
      <c r="DD252">
        <v>0</v>
      </c>
      <c r="DE252">
        <v>0</v>
      </c>
      <c r="DF252">
        <v>0</v>
      </c>
      <c r="DG252">
        <v>0</v>
      </c>
      <c r="DH252">
        <v>0</v>
      </c>
      <c r="DI252">
        <v>0</v>
      </c>
    </row>
    <row r="253" spans="1:113" x14ac:dyDescent="0.3">
      <c r="A253" t="str">
        <f>"09/28/2021 13:52:36.884"</f>
        <v>09/28/2021 13:52:36.884</v>
      </c>
      <c r="C253" t="str">
        <f t="shared" si="14"/>
        <v>FFDFD3C0</v>
      </c>
      <c r="D253" t="s">
        <v>120</v>
      </c>
      <c r="E253">
        <v>12</v>
      </c>
      <c r="F253">
        <v>1012</v>
      </c>
      <c r="G253" t="s">
        <v>114</v>
      </c>
      <c r="J253" t="s">
        <v>121</v>
      </c>
      <c r="K253">
        <v>0</v>
      </c>
      <c r="L253">
        <v>3</v>
      </c>
      <c r="M253">
        <v>0</v>
      </c>
      <c r="N253">
        <v>2</v>
      </c>
      <c r="O253">
        <v>1</v>
      </c>
      <c r="P253">
        <v>0</v>
      </c>
      <c r="Q253">
        <v>0</v>
      </c>
      <c r="S253" t="str">
        <f>"13:52:36.695"</f>
        <v>13:52:36.695</v>
      </c>
      <c r="T253" t="str">
        <f>"13:52:36.295"</f>
        <v>13:52:36.295</v>
      </c>
      <c r="U253" t="str">
        <f t="shared" si="13"/>
        <v>A92BC1</v>
      </c>
      <c r="V253">
        <v>0</v>
      </c>
      <c r="W253">
        <v>0</v>
      </c>
      <c r="X253">
        <v>2</v>
      </c>
      <c r="Z253">
        <v>0</v>
      </c>
      <c r="AA253">
        <v>9</v>
      </c>
      <c r="AB253">
        <v>3</v>
      </c>
      <c r="AC253">
        <v>0</v>
      </c>
      <c r="AD253">
        <v>10</v>
      </c>
      <c r="AE253">
        <v>0</v>
      </c>
      <c r="AF253">
        <v>3</v>
      </c>
      <c r="AG253">
        <v>2</v>
      </c>
      <c r="AH253">
        <v>0</v>
      </c>
      <c r="AI253" t="s">
        <v>354</v>
      </c>
      <c r="AJ253">
        <v>45.687525000000001</v>
      </c>
      <c r="AK253" t="s">
        <v>355</v>
      </c>
      <c r="AL253">
        <v>-89.455082000000004</v>
      </c>
      <c r="AM253">
        <v>100</v>
      </c>
      <c r="AN253">
        <v>6100</v>
      </c>
      <c r="AO253" t="s">
        <v>118</v>
      </c>
      <c r="AP253">
        <v>122</v>
      </c>
      <c r="AQ253">
        <v>98</v>
      </c>
      <c r="AR253">
        <v>2304</v>
      </c>
      <c r="AZ253">
        <v>1200</v>
      </c>
      <c r="BA253">
        <v>1</v>
      </c>
      <c r="BB253" t="str">
        <f t="shared" si="15"/>
        <v xml:space="preserve">N690LS  </v>
      </c>
      <c r="BC253">
        <v>1</v>
      </c>
      <c r="BE253">
        <v>0</v>
      </c>
      <c r="BF253">
        <v>0</v>
      </c>
      <c r="BG253">
        <v>0</v>
      </c>
      <c r="BH253">
        <v>6250</v>
      </c>
      <c r="BI253">
        <v>1</v>
      </c>
      <c r="BJ253">
        <v>1</v>
      </c>
      <c r="BK253">
        <v>1</v>
      </c>
      <c r="BL253">
        <v>0</v>
      </c>
      <c r="BO253">
        <v>0</v>
      </c>
      <c r="BP253">
        <v>0</v>
      </c>
      <c r="BW253" t="str">
        <f>"13:52:36.701"</f>
        <v>13:52:36.701</v>
      </c>
      <c r="CJ253">
        <v>0</v>
      </c>
      <c r="CK253">
        <v>2</v>
      </c>
      <c r="CL253">
        <v>0</v>
      </c>
      <c r="CM253">
        <v>2</v>
      </c>
      <c r="CN253">
        <v>0</v>
      </c>
      <c r="CO253">
        <v>5</v>
      </c>
      <c r="CP253" t="s">
        <v>119</v>
      </c>
      <c r="CQ253">
        <v>209</v>
      </c>
      <c r="CR253">
        <v>3</v>
      </c>
      <c r="CW253">
        <v>7150913</v>
      </c>
      <c r="CY253">
        <v>1</v>
      </c>
      <c r="CZ253">
        <v>0</v>
      </c>
      <c r="DA253">
        <v>0</v>
      </c>
      <c r="DB253">
        <v>0</v>
      </c>
      <c r="DC253">
        <v>0</v>
      </c>
      <c r="DD253">
        <v>0</v>
      </c>
      <c r="DE253">
        <v>0</v>
      </c>
      <c r="DF253">
        <v>0</v>
      </c>
      <c r="DG253">
        <v>0</v>
      </c>
      <c r="DH253">
        <v>0</v>
      </c>
      <c r="DI253">
        <v>0</v>
      </c>
    </row>
    <row r="254" spans="1:113" x14ac:dyDescent="0.3">
      <c r="A254" t="str">
        <f>"09/28/2021 13:52:36.884"</f>
        <v>09/28/2021 13:52:36.884</v>
      </c>
      <c r="C254" t="str">
        <f t="shared" si="14"/>
        <v>FFDFD3C0</v>
      </c>
      <c r="D254" t="s">
        <v>113</v>
      </c>
      <c r="E254">
        <v>7</v>
      </c>
      <c r="H254">
        <v>170</v>
      </c>
      <c r="I254" t="s">
        <v>114</v>
      </c>
      <c r="J254" t="s">
        <v>115</v>
      </c>
      <c r="K254">
        <v>0</v>
      </c>
      <c r="L254">
        <v>3</v>
      </c>
      <c r="M254">
        <v>0</v>
      </c>
      <c r="N254">
        <v>2</v>
      </c>
      <c r="O254">
        <v>1</v>
      </c>
      <c r="P254">
        <v>0</v>
      </c>
      <c r="Q254">
        <v>0</v>
      </c>
      <c r="S254" t="str">
        <f>"13:52:36.695"</f>
        <v>13:52:36.695</v>
      </c>
      <c r="T254" t="str">
        <f>"13:52:36.295"</f>
        <v>13:52:36.295</v>
      </c>
      <c r="U254" t="str">
        <f t="shared" si="13"/>
        <v>A92BC1</v>
      </c>
      <c r="V254">
        <v>0</v>
      </c>
      <c r="W254">
        <v>0</v>
      </c>
      <c r="X254">
        <v>2</v>
      </c>
      <c r="Z254">
        <v>0</v>
      </c>
      <c r="AA254">
        <v>9</v>
      </c>
      <c r="AB254">
        <v>3</v>
      </c>
      <c r="AC254">
        <v>0</v>
      </c>
      <c r="AD254">
        <v>10</v>
      </c>
      <c r="AE254">
        <v>0</v>
      </c>
      <c r="AF254">
        <v>3</v>
      </c>
      <c r="AG254">
        <v>2</v>
      </c>
      <c r="AH254">
        <v>0</v>
      </c>
      <c r="AI254" t="s">
        <v>354</v>
      </c>
      <c r="AJ254">
        <v>45.687525000000001</v>
      </c>
      <c r="AK254" t="s">
        <v>355</v>
      </c>
      <c r="AL254">
        <v>-89.455082000000004</v>
      </c>
      <c r="AM254">
        <v>100</v>
      </c>
      <c r="AN254">
        <v>6100</v>
      </c>
      <c r="AO254" t="s">
        <v>118</v>
      </c>
      <c r="AP254">
        <v>122</v>
      </c>
      <c r="AQ254">
        <v>98</v>
      </c>
      <c r="AR254">
        <v>2304</v>
      </c>
      <c r="AZ254">
        <v>1200</v>
      </c>
      <c r="BA254">
        <v>1</v>
      </c>
      <c r="BB254" t="str">
        <f t="shared" si="15"/>
        <v xml:space="preserve">N690LS  </v>
      </c>
      <c r="BC254">
        <v>1</v>
      </c>
      <c r="BE254">
        <v>0</v>
      </c>
      <c r="BF254">
        <v>0</v>
      </c>
      <c r="BG254">
        <v>0</v>
      </c>
      <c r="BH254">
        <v>6250</v>
      </c>
      <c r="BI254">
        <v>1</v>
      </c>
      <c r="BJ254">
        <v>1</v>
      </c>
      <c r="BK254">
        <v>1</v>
      </c>
      <c r="BL254">
        <v>0</v>
      </c>
      <c r="BO254">
        <v>0</v>
      </c>
      <c r="BP254">
        <v>0</v>
      </c>
      <c r="BW254" t="str">
        <f>"13:52:36.701"</f>
        <v>13:52:36.701</v>
      </c>
      <c r="CJ254">
        <v>0</v>
      </c>
      <c r="CK254">
        <v>2</v>
      </c>
      <c r="CL254">
        <v>0</v>
      </c>
      <c r="CM254">
        <v>2</v>
      </c>
      <c r="CN254">
        <v>0</v>
      </c>
      <c r="CO254">
        <v>5</v>
      </c>
      <c r="CP254" t="s">
        <v>119</v>
      </c>
      <c r="CQ254">
        <v>209</v>
      </c>
      <c r="CR254">
        <v>3</v>
      </c>
      <c r="CW254">
        <v>7150913</v>
      </c>
      <c r="CY254">
        <v>1</v>
      </c>
      <c r="CZ254">
        <v>0</v>
      </c>
      <c r="DA254">
        <v>1</v>
      </c>
      <c r="DB254">
        <v>0</v>
      </c>
      <c r="DC254">
        <v>0</v>
      </c>
      <c r="DD254">
        <v>0</v>
      </c>
      <c r="DE254">
        <v>0</v>
      </c>
      <c r="DF254">
        <v>0</v>
      </c>
      <c r="DG254">
        <v>0</v>
      </c>
      <c r="DH254">
        <v>0</v>
      </c>
      <c r="DI254">
        <v>0</v>
      </c>
    </row>
    <row r="255" spans="1:113" x14ac:dyDescent="0.3">
      <c r="A255" t="str">
        <f>"09/28/2021 13:52:37.946"</f>
        <v>09/28/2021 13:52:37.946</v>
      </c>
      <c r="C255" t="str">
        <f t="shared" si="14"/>
        <v>FFDFD3C0</v>
      </c>
      <c r="D255" t="s">
        <v>113</v>
      </c>
      <c r="E255">
        <v>7</v>
      </c>
      <c r="H255">
        <v>170</v>
      </c>
      <c r="I255" t="s">
        <v>114</v>
      </c>
      <c r="J255" t="s">
        <v>115</v>
      </c>
      <c r="K255">
        <v>0</v>
      </c>
      <c r="L255">
        <v>3</v>
      </c>
      <c r="M255">
        <v>0</v>
      </c>
      <c r="N255">
        <v>2</v>
      </c>
      <c r="O255">
        <v>1</v>
      </c>
      <c r="P255">
        <v>0</v>
      </c>
      <c r="Q255">
        <v>0</v>
      </c>
      <c r="S255" t="str">
        <f>"13:52:37.742"</f>
        <v>13:52:37.742</v>
      </c>
      <c r="T255" t="str">
        <f>"13:52:37.242"</f>
        <v>13:52:37.242</v>
      </c>
      <c r="U255" t="str">
        <f t="shared" si="13"/>
        <v>A92BC1</v>
      </c>
      <c r="V255">
        <v>0</v>
      </c>
      <c r="W255">
        <v>0</v>
      </c>
      <c r="X255">
        <v>2</v>
      </c>
      <c r="Z255">
        <v>0</v>
      </c>
      <c r="AA255">
        <v>9</v>
      </c>
      <c r="AB255">
        <v>3</v>
      </c>
      <c r="AC255">
        <v>0</v>
      </c>
      <c r="AD255">
        <v>10</v>
      </c>
      <c r="AE255">
        <v>0</v>
      </c>
      <c r="AF255">
        <v>3</v>
      </c>
      <c r="AG255">
        <v>2</v>
      </c>
      <c r="AH255">
        <v>0</v>
      </c>
      <c r="AI255" t="s">
        <v>356</v>
      </c>
      <c r="AJ255">
        <v>45.688018999999997</v>
      </c>
      <c r="AK255" t="s">
        <v>357</v>
      </c>
      <c r="AL255">
        <v>-89.454160000000002</v>
      </c>
      <c r="AM255">
        <v>100</v>
      </c>
      <c r="AN255">
        <v>6200</v>
      </c>
      <c r="AO255" t="s">
        <v>118</v>
      </c>
      <c r="AP255">
        <v>122</v>
      </c>
      <c r="AQ255">
        <v>99</v>
      </c>
      <c r="AR255">
        <v>2304</v>
      </c>
      <c r="AZ255">
        <v>1200</v>
      </c>
      <c r="BA255">
        <v>1</v>
      </c>
      <c r="BB255" t="str">
        <f t="shared" si="15"/>
        <v xml:space="preserve">N690LS  </v>
      </c>
      <c r="BC255">
        <v>1</v>
      </c>
      <c r="BE255">
        <v>0</v>
      </c>
      <c r="BF255">
        <v>0</v>
      </c>
      <c r="BG255">
        <v>0</v>
      </c>
      <c r="BH255">
        <v>6275</v>
      </c>
      <c r="BI255">
        <v>1</v>
      </c>
      <c r="BJ255">
        <v>1</v>
      </c>
      <c r="BK255">
        <v>1</v>
      </c>
      <c r="BL255">
        <v>0</v>
      </c>
      <c r="BO255">
        <v>0</v>
      </c>
      <c r="BP255">
        <v>0</v>
      </c>
      <c r="BW255" t="str">
        <f>"13:52:37.745"</f>
        <v>13:52:37.745</v>
      </c>
      <c r="CJ255">
        <v>0</v>
      </c>
      <c r="CK255">
        <v>2</v>
      </c>
      <c r="CL255">
        <v>0</v>
      </c>
      <c r="CM255">
        <v>2</v>
      </c>
      <c r="CN255">
        <v>0</v>
      </c>
      <c r="CO255">
        <v>5</v>
      </c>
      <c r="CP255" t="s">
        <v>119</v>
      </c>
      <c r="CQ255">
        <v>209</v>
      </c>
      <c r="CR255">
        <v>3</v>
      </c>
      <c r="CW255">
        <v>7151230</v>
      </c>
      <c r="CY255">
        <v>1</v>
      </c>
      <c r="CZ255">
        <v>0</v>
      </c>
      <c r="DA255">
        <v>0</v>
      </c>
      <c r="DB255">
        <v>0</v>
      </c>
      <c r="DC255">
        <v>0</v>
      </c>
      <c r="DD255">
        <v>0</v>
      </c>
      <c r="DE255">
        <v>0</v>
      </c>
      <c r="DF255">
        <v>0</v>
      </c>
      <c r="DG255">
        <v>0</v>
      </c>
      <c r="DH255">
        <v>0</v>
      </c>
      <c r="DI255">
        <v>0</v>
      </c>
    </row>
    <row r="256" spans="1:113" x14ac:dyDescent="0.3">
      <c r="A256" t="str">
        <f>"09/28/2021 13:52:37.993"</f>
        <v>09/28/2021 13:52:37.993</v>
      </c>
      <c r="C256" t="str">
        <f t="shared" si="14"/>
        <v>FFDFD3C0</v>
      </c>
      <c r="D256" t="s">
        <v>120</v>
      </c>
      <c r="E256">
        <v>12</v>
      </c>
      <c r="F256">
        <v>1012</v>
      </c>
      <c r="G256" t="s">
        <v>114</v>
      </c>
      <c r="J256" t="s">
        <v>121</v>
      </c>
      <c r="K256">
        <v>0</v>
      </c>
      <c r="L256">
        <v>3</v>
      </c>
      <c r="M256">
        <v>0</v>
      </c>
      <c r="N256">
        <v>2</v>
      </c>
      <c r="O256">
        <v>1</v>
      </c>
      <c r="P256">
        <v>0</v>
      </c>
      <c r="Q256">
        <v>0</v>
      </c>
      <c r="S256" t="str">
        <f>"13:52:37.742"</f>
        <v>13:52:37.742</v>
      </c>
      <c r="T256" t="str">
        <f>"13:52:37.242"</f>
        <v>13:52:37.242</v>
      </c>
      <c r="U256" t="str">
        <f t="shared" si="13"/>
        <v>A92BC1</v>
      </c>
      <c r="V256">
        <v>0</v>
      </c>
      <c r="W256">
        <v>0</v>
      </c>
      <c r="X256">
        <v>2</v>
      </c>
      <c r="Z256">
        <v>0</v>
      </c>
      <c r="AA256">
        <v>9</v>
      </c>
      <c r="AB256">
        <v>3</v>
      </c>
      <c r="AC256">
        <v>0</v>
      </c>
      <c r="AD256">
        <v>10</v>
      </c>
      <c r="AE256">
        <v>0</v>
      </c>
      <c r="AF256">
        <v>3</v>
      </c>
      <c r="AG256">
        <v>2</v>
      </c>
      <c r="AH256">
        <v>0</v>
      </c>
      <c r="AI256" t="s">
        <v>356</v>
      </c>
      <c r="AJ256">
        <v>45.688018999999997</v>
      </c>
      <c r="AK256" t="s">
        <v>357</v>
      </c>
      <c r="AL256">
        <v>-89.454160000000002</v>
      </c>
      <c r="AM256">
        <v>100</v>
      </c>
      <c r="AN256">
        <v>6200</v>
      </c>
      <c r="AO256" t="s">
        <v>118</v>
      </c>
      <c r="AP256">
        <v>122</v>
      </c>
      <c r="AQ256">
        <v>99</v>
      </c>
      <c r="AR256">
        <v>2304</v>
      </c>
      <c r="AZ256">
        <v>1200</v>
      </c>
      <c r="BA256">
        <v>1</v>
      </c>
      <c r="BB256" t="str">
        <f t="shared" si="15"/>
        <v xml:space="preserve">N690LS  </v>
      </c>
      <c r="BC256">
        <v>1</v>
      </c>
      <c r="BE256">
        <v>0</v>
      </c>
      <c r="BF256">
        <v>0</v>
      </c>
      <c r="BG256">
        <v>0</v>
      </c>
      <c r="BH256">
        <v>6275</v>
      </c>
      <c r="BI256">
        <v>1</v>
      </c>
      <c r="BJ256">
        <v>1</v>
      </c>
      <c r="BK256">
        <v>1</v>
      </c>
      <c r="BL256">
        <v>0</v>
      </c>
      <c r="BO256">
        <v>0</v>
      </c>
      <c r="BP256">
        <v>0</v>
      </c>
      <c r="BW256" t="str">
        <f>"13:52:37.745"</f>
        <v>13:52:37.745</v>
      </c>
      <c r="CJ256">
        <v>0</v>
      </c>
      <c r="CK256">
        <v>2</v>
      </c>
      <c r="CL256">
        <v>0</v>
      </c>
      <c r="CM256">
        <v>2</v>
      </c>
      <c r="CN256">
        <v>0</v>
      </c>
      <c r="CO256">
        <v>5</v>
      </c>
      <c r="CP256" t="s">
        <v>119</v>
      </c>
      <c r="CQ256">
        <v>209</v>
      </c>
      <c r="CR256">
        <v>3</v>
      </c>
      <c r="CW256">
        <v>7151230</v>
      </c>
      <c r="CY256">
        <v>1</v>
      </c>
      <c r="CZ256">
        <v>0</v>
      </c>
      <c r="DA256">
        <v>1</v>
      </c>
      <c r="DB256">
        <v>0</v>
      </c>
      <c r="DC256">
        <v>0</v>
      </c>
      <c r="DD256">
        <v>0</v>
      </c>
      <c r="DE256">
        <v>0</v>
      </c>
      <c r="DF256">
        <v>0</v>
      </c>
      <c r="DG256">
        <v>0</v>
      </c>
      <c r="DH256">
        <v>0</v>
      </c>
      <c r="DI256">
        <v>0</v>
      </c>
    </row>
    <row r="257" spans="1:113" x14ac:dyDescent="0.3">
      <c r="A257" t="str">
        <f>"09/28/2021 13:52:39.010"</f>
        <v>09/28/2021 13:52:39.010</v>
      </c>
      <c r="C257" t="str">
        <f t="shared" si="14"/>
        <v>FFDFD3C0</v>
      </c>
      <c r="D257" t="s">
        <v>113</v>
      </c>
      <c r="E257">
        <v>7</v>
      </c>
      <c r="H257">
        <v>170</v>
      </c>
      <c r="I257" t="s">
        <v>114</v>
      </c>
      <c r="J257" t="s">
        <v>115</v>
      </c>
      <c r="K257">
        <v>0</v>
      </c>
      <c r="L257">
        <v>3</v>
      </c>
      <c r="M257">
        <v>0</v>
      </c>
      <c r="N257">
        <v>2</v>
      </c>
      <c r="O257">
        <v>1</v>
      </c>
      <c r="P257">
        <v>0</v>
      </c>
      <c r="Q257">
        <v>0</v>
      </c>
      <c r="S257" t="str">
        <f>"13:52:38.750"</f>
        <v>13:52:38.750</v>
      </c>
      <c r="T257" t="str">
        <f>"13:52:38.250"</f>
        <v>13:52:38.250</v>
      </c>
      <c r="U257" t="str">
        <f t="shared" si="13"/>
        <v>A92BC1</v>
      </c>
      <c r="V257">
        <v>0</v>
      </c>
      <c r="W257">
        <v>0</v>
      </c>
      <c r="X257">
        <v>2</v>
      </c>
      <c r="Z257">
        <v>0</v>
      </c>
      <c r="AA257">
        <v>9</v>
      </c>
      <c r="AB257">
        <v>3</v>
      </c>
      <c r="AC257">
        <v>0</v>
      </c>
      <c r="AD257">
        <v>10</v>
      </c>
      <c r="AE257">
        <v>0</v>
      </c>
      <c r="AF257">
        <v>3</v>
      </c>
      <c r="AG257">
        <v>2</v>
      </c>
      <c r="AH257">
        <v>0</v>
      </c>
      <c r="AI257" t="s">
        <v>358</v>
      </c>
      <c r="AJ257">
        <v>45.688468999999998</v>
      </c>
      <c r="AK257" t="s">
        <v>359</v>
      </c>
      <c r="AL257">
        <v>-89.453366000000003</v>
      </c>
      <c r="AM257">
        <v>100</v>
      </c>
      <c r="AN257">
        <v>6200</v>
      </c>
      <c r="AO257" t="s">
        <v>118</v>
      </c>
      <c r="AP257">
        <v>121</v>
      </c>
      <c r="AQ257">
        <v>99</v>
      </c>
      <c r="AR257">
        <v>2304</v>
      </c>
      <c r="AZ257">
        <v>1200</v>
      </c>
      <c r="BA257">
        <v>1</v>
      </c>
      <c r="BB257" t="str">
        <f t="shared" si="15"/>
        <v xml:space="preserve">N690LS  </v>
      </c>
      <c r="BC257">
        <v>1</v>
      </c>
      <c r="BE257">
        <v>0</v>
      </c>
      <c r="BF257">
        <v>0</v>
      </c>
      <c r="BG257">
        <v>0</v>
      </c>
      <c r="BH257">
        <v>6325</v>
      </c>
      <c r="BI257">
        <v>1</v>
      </c>
      <c r="BJ257">
        <v>1</v>
      </c>
      <c r="BK257">
        <v>1</v>
      </c>
      <c r="BL257">
        <v>0</v>
      </c>
      <c r="BO257">
        <v>0</v>
      </c>
      <c r="BP257">
        <v>0</v>
      </c>
      <c r="BW257" t="str">
        <f>"13:52:38.756"</f>
        <v>13:52:38.756</v>
      </c>
      <c r="CJ257">
        <v>0</v>
      </c>
      <c r="CK257">
        <v>2</v>
      </c>
      <c r="CL257">
        <v>0</v>
      </c>
      <c r="CM257">
        <v>2</v>
      </c>
      <c r="CN257">
        <v>0</v>
      </c>
      <c r="CO257">
        <v>7</v>
      </c>
      <c r="CP257" t="s">
        <v>119</v>
      </c>
      <c r="CQ257">
        <v>197</v>
      </c>
      <c r="CR257">
        <v>2</v>
      </c>
      <c r="CW257">
        <v>2206859</v>
      </c>
      <c r="CY257">
        <v>1</v>
      </c>
      <c r="CZ257">
        <v>0</v>
      </c>
      <c r="DA257">
        <v>0</v>
      </c>
      <c r="DB257">
        <v>0</v>
      </c>
      <c r="DC257">
        <v>0</v>
      </c>
      <c r="DD257">
        <v>0</v>
      </c>
      <c r="DE257">
        <v>0</v>
      </c>
      <c r="DF257">
        <v>0</v>
      </c>
      <c r="DG257">
        <v>0</v>
      </c>
      <c r="DH257">
        <v>0</v>
      </c>
      <c r="DI257">
        <v>0</v>
      </c>
    </row>
    <row r="258" spans="1:113" x14ac:dyDescent="0.3">
      <c r="A258" t="str">
        <f>"09/28/2021 13:52:39.010"</f>
        <v>09/28/2021 13:52:39.010</v>
      </c>
      <c r="C258" t="str">
        <f t="shared" si="14"/>
        <v>FFDFD3C0</v>
      </c>
      <c r="D258" t="s">
        <v>120</v>
      </c>
      <c r="E258">
        <v>12</v>
      </c>
      <c r="F258">
        <v>1012</v>
      </c>
      <c r="G258" t="s">
        <v>114</v>
      </c>
      <c r="J258" t="s">
        <v>121</v>
      </c>
      <c r="K258">
        <v>0</v>
      </c>
      <c r="L258">
        <v>3</v>
      </c>
      <c r="M258">
        <v>0</v>
      </c>
      <c r="N258">
        <v>2</v>
      </c>
      <c r="O258">
        <v>1</v>
      </c>
      <c r="P258">
        <v>0</v>
      </c>
      <c r="Q258">
        <v>0</v>
      </c>
      <c r="S258" t="str">
        <f>"13:52:38.750"</f>
        <v>13:52:38.750</v>
      </c>
      <c r="T258" t="str">
        <f>"13:52:38.250"</f>
        <v>13:52:38.250</v>
      </c>
      <c r="U258" t="str">
        <f t="shared" ref="U258:U321" si="16">"A92BC1"</f>
        <v>A92BC1</v>
      </c>
      <c r="V258">
        <v>0</v>
      </c>
      <c r="W258">
        <v>0</v>
      </c>
      <c r="X258">
        <v>2</v>
      </c>
      <c r="Z258">
        <v>0</v>
      </c>
      <c r="AA258">
        <v>9</v>
      </c>
      <c r="AB258">
        <v>3</v>
      </c>
      <c r="AC258">
        <v>0</v>
      </c>
      <c r="AD258">
        <v>10</v>
      </c>
      <c r="AE258">
        <v>0</v>
      </c>
      <c r="AF258">
        <v>3</v>
      </c>
      <c r="AG258">
        <v>2</v>
      </c>
      <c r="AH258">
        <v>0</v>
      </c>
      <c r="AI258" t="s">
        <v>358</v>
      </c>
      <c r="AJ258">
        <v>45.688468999999998</v>
      </c>
      <c r="AK258" t="s">
        <v>359</v>
      </c>
      <c r="AL258">
        <v>-89.453366000000003</v>
      </c>
      <c r="AM258">
        <v>100</v>
      </c>
      <c r="AN258">
        <v>6200</v>
      </c>
      <c r="AO258" t="s">
        <v>118</v>
      </c>
      <c r="AP258">
        <v>121</v>
      </c>
      <c r="AQ258">
        <v>99</v>
      </c>
      <c r="AR258">
        <v>2304</v>
      </c>
      <c r="AZ258">
        <v>1200</v>
      </c>
      <c r="BA258">
        <v>1</v>
      </c>
      <c r="BB258" t="str">
        <f t="shared" si="15"/>
        <v xml:space="preserve">N690LS  </v>
      </c>
      <c r="BC258">
        <v>1</v>
      </c>
      <c r="BE258">
        <v>0</v>
      </c>
      <c r="BF258">
        <v>0</v>
      </c>
      <c r="BG258">
        <v>0</v>
      </c>
      <c r="BH258">
        <v>6325</v>
      </c>
      <c r="BI258">
        <v>1</v>
      </c>
      <c r="BJ258">
        <v>1</v>
      </c>
      <c r="BK258">
        <v>1</v>
      </c>
      <c r="BL258">
        <v>0</v>
      </c>
      <c r="BO258">
        <v>0</v>
      </c>
      <c r="BP258">
        <v>0</v>
      </c>
      <c r="BW258" t="str">
        <f>"13:52:38.756"</f>
        <v>13:52:38.756</v>
      </c>
      <c r="CJ258">
        <v>0</v>
      </c>
      <c r="CK258">
        <v>2</v>
      </c>
      <c r="CL258">
        <v>0</v>
      </c>
      <c r="CM258">
        <v>2</v>
      </c>
      <c r="CN258">
        <v>0</v>
      </c>
      <c r="CO258">
        <v>7</v>
      </c>
      <c r="CP258" t="s">
        <v>119</v>
      </c>
      <c r="CQ258">
        <v>197</v>
      </c>
      <c r="CR258">
        <v>2</v>
      </c>
      <c r="CW258">
        <v>2206859</v>
      </c>
      <c r="CY258">
        <v>1</v>
      </c>
      <c r="CZ258">
        <v>0</v>
      </c>
      <c r="DA258">
        <v>1</v>
      </c>
      <c r="DB258">
        <v>0</v>
      </c>
      <c r="DC258">
        <v>0</v>
      </c>
      <c r="DD258">
        <v>0</v>
      </c>
      <c r="DE258">
        <v>0</v>
      </c>
      <c r="DF258">
        <v>0</v>
      </c>
      <c r="DG258">
        <v>0</v>
      </c>
      <c r="DH258">
        <v>0</v>
      </c>
      <c r="DI258">
        <v>0</v>
      </c>
    </row>
    <row r="259" spans="1:113" x14ac:dyDescent="0.3">
      <c r="A259" t="str">
        <f>"09/28/2021 13:52:39.948"</f>
        <v>09/28/2021 13:52:39.948</v>
      </c>
      <c r="C259" t="str">
        <f t="shared" si="14"/>
        <v>FFDFD3C0</v>
      </c>
      <c r="D259" t="s">
        <v>120</v>
      </c>
      <c r="E259">
        <v>12</v>
      </c>
      <c r="F259">
        <v>1012</v>
      </c>
      <c r="G259" t="s">
        <v>114</v>
      </c>
      <c r="J259" t="s">
        <v>121</v>
      </c>
      <c r="K259">
        <v>0</v>
      </c>
      <c r="L259">
        <v>3</v>
      </c>
      <c r="M259">
        <v>0</v>
      </c>
      <c r="N259">
        <v>2</v>
      </c>
      <c r="O259">
        <v>1</v>
      </c>
      <c r="P259">
        <v>0</v>
      </c>
      <c r="Q259">
        <v>0</v>
      </c>
      <c r="S259" t="str">
        <f>"13:52:39.742"</f>
        <v>13:52:39.742</v>
      </c>
      <c r="T259" t="str">
        <f>"13:52:39.342"</f>
        <v>13:52:39.342</v>
      </c>
      <c r="U259" t="str">
        <f t="shared" si="16"/>
        <v>A92BC1</v>
      </c>
      <c r="V259">
        <v>0</v>
      </c>
      <c r="W259">
        <v>0</v>
      </c>
      <c r="X259">
        <v>2</v>
      </c>
      <c r="Z259">
        <v>0</v>
      </c>
      <c r="AA259">
        <v>9</v>
      </c>
      <c r="AB259">
        <v>3</v>
      </c>
      <c r="AC259">
        <v>0</v>
      </c>
      <c r="AD259">
        <v>10</v>
      </c>
      <c r="AE259">
        <v>0</v>
      </c>
      <c r="AF259">
        <v>3</v>
      </c>
      <c r="AG259">
        <v>2</v>
      </c>
      <c r="AH259">
        <v>0</v>
      </c>
      <c r="AI259" t="s">
        <v>360</v>
      </c>
      <c r="AJ259">
        <v>45.688941</v>
      </c>
      <c r="AK259" t="s">
        <v>361</v>
      </c>
      <c r="AL259">
        <v>-89.452550000000002</v>
      </c>
      <c r="AM259">
        <v>100</v>
      </c>
      <c r="AN259">
        <v>6300</v>
      </c>
      <c r="AO259" t="s">
        <v>118</v>
      </c>
      <c r="AP259">
        <v>121</v>
      </c>
      <c r="AQ259">
        <v>99</v>
      </c>
      <c r="AR259">
        <v>2304</v>
      </c>
      <c r="AZ259">
        <v>1200</v>
      </c>
      <c r="BA259">
        <v>1</v>
      </c>
      <c r="BB259" t="str">
        <f t="shared" si="15"/>
        <v xml:space="preserve">N690LS  </v>
      </c>
      <c r="BC259">
        <v>1</v>
      </c>
      <c r="BE259">
        <v>0</v>
      </c>
      <c r="BF259">
        <v>0</v>
      </c>
      <c r="BG259">
        <v>0</v>
      </c>
      <c r="BH259">
        <v>6350</v>
      </c>
      <c r="BI259">
        <v>1</v>
      </c>
      <c r="BJ259">
        <v>1</v>
      </c>
      <c r="BK259">
        <v>1</v>
      </c>
      <c r="BL259">
        <v>0</v>
      </c>
      <c r="BO259">
        <v>0</v>
      </c>
      <c r="BP259">
        <v>0</v>
      </c>
      <c r="BW259" t="str">
        <f>"13:52:39.745"</f>
        <v>13:52:39.745</v>
      </c>
      <c r="CJ259">
        <v>0</v>
      </c>
      <c r="CK259">
        <v>2</v>
      </c>
      <c r="CL259">
        <v>0</v>
      </c>
      <c r="CM259">
        <v>2</v>
      </c>
      <c r="CN259">
        <v>0</v>
      </c>
      <c r="CO259">
        <v>5</v>
      </c>
      <c r="CP259" t="s">
        <v>119</v>
      </c>
      <c r="CQ259">
        <v>209</v>
      </c>
      <c r="CR259">
        <v>3</v>
      </c>
      <c r="CW259">
        <v>7151822</v>
      </c>
      <c r="CY259">
        <v>1</v>
      </c>
      <c r="CZ259">
        <v>0</v>
      </c>
      <c r="DA259">
        <v>0</v>
      </c>
      <c r="DB259">
        <v>0</v>
      </c>
      <c r="DC259">
        <v>0</v>
      </c>
      <c r="DD259">
        <v>0</v>
      </c>
      <c r="DE259">
        <v>0</v>
      </c>
      <c r="DF259">
        <v>0</v>
      </c>
      <c r="DG259">
        <v>0</v>
      </c>
      <c r="DH259">
        <v>0</v>
      </c>
      <c r="DI259">
        <v>0</v>
      </c>
    </row>
    <row r="260" spans="1:113" x14ac:dyDescent="0.3">
      <c r="A260" t="str">
        <f>"09/28/2021 13:52:39.979"</f>
        <v>09/28/2021 13:52:39.979</v>
      </c>
      <c r="C260" t="str">
        <f t="shared" si="14"/>
        <v>FFDFD3C0</v>
      </c>
      <c r="D260" t="s">
        <v>113</v>
      </c>
      <c r="E260">
        <v>7</v>
      </c>
      <c r="H260">
        <v>170</v>
      </c>
      <c r="I260" t="s">
        <v>114</v>
      </c>
      <c r="J260" t="s">
        <v>115</v>
      </c>
      <c r="K260">
        <v>0</v>
      </c>
      <c r="L260">
        <v>3</v>
      </c>
      <c r="M260">
        <v>0</v>
      </c>
      <c r="N260">
        <v>2</v>
      </c>
      <c r="O260">
        <v>1</v>
      </c>
      <c r="P260">
        <v>0</v>
      </c>
      <c r="Q260">
        <v>0</v>
      </c>
      <c r="S260" t="str">
        <f>"13:52:39.742"</f>
        <v>13:52:39.742</v>
      </c>
      <c r="T260" t="str">
        <f>"13:52:39.342"</f>
        <v>13:52:39.342</v>
      </c>
      <c r="U260" t="str">
        <f t="shared" si="16"/>
        <v>A92BC1</v>
      </c>
      <c r="V260">
        <v>0</v>
      </c>
      <c r="W260">
        <v>0</v>
      </c>
      <c r="X260">
        <v>2</v>
      </c>
      <c r="Z260">
        <v>0</v>
      </c>
      <c r="AA260">
        <v>9</v>
      </c>
      <c r="AB260">
        <v>3</v>
      </c>
      <c r="AC260">
        <v>0</v>
      </c>
      <c r="AD260">
        <v>10</v>
      </c>
      <c r="AE260">
        <v>0</v>
      </c>
      <c r="AF260">
        <v>3</v>
      </c>
      <c r="AG260">
        <v>2</v>
      </c>
      <c r="AH260">
        <v>0</v>
      </c>
      <c r="AI260" t="s">
        <v>360</v>
      </c>
      <c r="AJ260">
        <v>45.688941</v>
      </c>
      <c r="AK260" t="s">
        <v>361</v>
      </c>
      <c r="AL260">
        <v>-89.452550000000002</v>
      </c>
      <c r="AM260">
        <v>100</v>
      </c>
      <c r="AN260">
        <v>6300</v>
      </c>
      <c r="AO260" t="s">
        <v>118</v>
      </c>
      <c r="AP260">
        <v>121</v>
      </c>
      <c r="AQ260">
        <v>99</v>
      </c>
      <c r="AR260">
        <v>2304</v>
      </c>
      <c r="AZ260">
        <v>1200</v>
      </c>
      <c r="BA260">
        <v>1</v>
      </c>
      <c r="BB260" t="str">
        <f t="shared" si="15"/>
        <v xml:space="preserve">N690LS  </v>
      </c>
      <c r="BC260">
        <v>1</v>
      </c>
      <c r="BE260">
        <v>0</v>
      </c>
      <c r="BF260">
        <v>0</v>
      </c>
      <c r="BG260">
        <v>0</v>
      </c>
      <c r="BH260">
        <v>6350</v>
      </c>
      <c r="BI260">
        <v>1</v>
      </c>
      <c r="BJ260">
        <v>1</v>
      </c>
      <c r="BK260">
        <v>1</v>
      </c>
      <c r="BL260">
        <v>0</v>
      </c>
      <c r="BO260">
        <v>0</v>
      </c>
      <c r="BP260">
        <v>0</v>
      </c>
      <c r="BW260" t="str">
        <f>"13:52:39.745"</f>
        <v>13:52:39.745</v>
      </c>
      <c r="CJ260">
        <v>0</v>
      </c>
      <c r="CK260">
        <v>2</v>
      </c>
      <c r="CL260">
        <v>0</v>
      </c>
      <c r="CM260">
        <v>2</v>
      </c>
      <c r="CN260">
        <v>0</v>
      </c>
      <c r="CO260">
        <v>5</v>
      </c>
      <c r="CP260" t="s">
        <v>119</v>
      </c>
      <c r="CQ260">
        <v>209</v>
      </c>
      <c r="CR260">
        <v>3</v>
      </c>
      <c r="CW260">
        <v>7151822</v>
      </c>
      <c r="CY260">
        <v>1</v>
      </c>
      <c r="CZ260">
        <v>0</v>
      </c>
      <c r="DA260">
        <v>1</v>
      </c>
      <c r="DB260">
        <v>0</v>
      </c>
      <c r="DC260">
        <v>0</v>
      </c>
      <c r="DD260">
        <v>0</v>
      </c>
      <c r="DE260">
        <v>0</v>
      </c>
      <c r="DF260">
        <v>0</v>
      </c>
      <c r="DG260">
        <v>0</v>
      </c>
      <c r="DH260">
        <v>0</v>
      </c>
      <c r="DI260">
        <v>0</v>
      </c>
    </row>
    <row r="261" spans="1:113" x14ac:dyDescent="0.3">
      <c r="A261" t="str">
        <f>"09/28/2021 13:52:40.917"</f>
        <v>09/28/2021 13:52:40.917</v>
      </c>
      <c r="C261" t="str">
        <f t="shared" si="14"/>
        <v>FFDFD3C0</v>
      </c>
      <c r="D261" t="s">
        <v>113</v>
      </c>
      <c r="E261">
        <v>7</v>
      </c>
      <c r="H261">
        <v>170</v>
      </c>
      <c r="I261" t="s">
        <v>114</v>
      </c>
      <c r="J261" t="s">
        <v>115</v>
      </c>
      <c r="K261">
        <v>0</v>
      </c>
      <c r="L261">
        <v>3</v>
      </c>
      <c r="M261">
        <v>0</v>
      </c>
      <c r="N261">
        <v>2</v>
      </c>
      <c r="O261">
        <v>1</v>
      </c>
      <c r="P261">
        <v>0</v>
      </c>
      <c r="Q261">
        <v>0</v>
      </c>
      <c r="S261" t="str">
        <f>"13:52:40.672"</f>
        <v>13:52:40.672</v>
      </c>
      <c r="T261" t="str">
        <f>"13:52:40.272"</f>
        <v>13:52:40.272</v>
      </c>
      <c r="U261" t="str">
        <f t="shared" si="16"/>
        <v>A92BC1</v>
      </c>
      <c r="V261">
        <v>0</v>
      </c>
      <c r="W261">
        <v>0</v>
      </c>
      <c r="X261">
        <v>2</v>
      </c>
      <c r="Z261">
        <v>0</v>
      </c>
      <c r="AA261">
        <v>9</v>
      </c>
      <c r="AB261">
        <v>3</v>
      </c>
      <c r="AC261">
        <v>0</v>
      </c>
      <c r="AD261">
        <v>10</v>
      </c>
      <c r="AE261">
        <v>0</v>
      </c>
      <c r="AF261">
        <v>3</v>
      </c>
      <c r="AG261">
        <v>2</v>
      </c>
      <c r="AH261">
        <v>0</v>
      </c>
      <c r="AI261" t="s">
        <v>362</v>
      </c>
      <c r="AJ261">
        <v>45.689349</v>
      </c>
      <c r="AK261" t="s">
        <v>363</v>
      </c>
      <c r="AL261">
        <v>-89.451841999999999</v>
      </c>
      <c r="AM261">
        <v>100</v>
      </c>
      <c r="AN261">
        <v>6300</v>
      </c>
      <c r="AO261" t="s">
        <v>118</v>
      </c>
      <c r="AP261">
        <v>121</v>
      </c>
      <c r="AQ261">
        <v>98</v>
      </c>
      <c r="AR261">
        <v>2304</v>
      </c>
      <c r="AZ261">
        <v>1200</v>
      </c>
      <c r="BA261">
        <v>1</v>
      </c>
      <c r="BB261" t="str">
        <f t="shared" si="15"/>
        <v xml:space="preserve">N690LS  </v>
      </c>
      <c r="BC261">
        <v>1</v>
      </c>
      <c r="BE261">
        <v>0</v>
      </c>
      <c r="BF261">
        <v>0</v>
      </c>
      <c r="BG261">
        <v>0</v>
      </c>
      <c r="BH261">
        <v>6400</v>
      </c>
      <c r="BI261">
        <v>1</v>
      </c>
      <c r="BJ261">
        <v>1</v>
      </c>
      <c r="BK261">
        <v>1</v>
      </c>
      <c r="BL261">
        <v>0</v>
      </c>
      <c r="BO261">
        <v>0</v>
      </c>
      <c r="BP261">
        <v>0</v>
      </c>
      <c r="BW261" t="str">
        <f>"13:52:40.679"</f>
        <v>13:52:40.679</v>
      </c>
      <c r="CJ261">
        <v>0</v>
      </c>
      <c r="CK261">
        <v>2</v>
      </c>
      <c r="CL261">
        <v>0</v>
      </c>
      <c r="CM261">
        <v>2</v>
      </c>
      <c r="CN261">
        <v>0</v>
      </c>
      <c r="CO261">
        <v>5</v>
      </c>
      <c r="CP261" t="s">
        <v>119</v>
      </c>
      <c r="CQ261">
        <v>209</v>
      </c>
      <c r="CR261">
        <v>3</v>
      </c>
      <c r="CW261">
        <v>7152133</v>
      </c>
      <c r="CY261">
        <v>1</v>
      </c>
      <c r="CZ261">
        <v>0</v>
      </c>
      <c r="DA261">
        <v>0</v>
      </c>
      <c r="DB261">
        <v>0</v>
      </c>
      <c r="DC261">
        <v>0</v>
      </c>
      <c r="DD261">
        <v>0</v>
      </c>
      <c r="DE261">
        <v>0</v>
      </c>
      <c r="DF261">
        <v>0</v>
      </c>
      <c r="DG261">
        <v>0</v>
      </c>
      <c r="DH261">
        <v>0</v>
      </c>
      <c r="DI261">
        <v>0</v>
      </c>
    </row>
    <row r="262" spans="1:113" x14ac:dyDescent="0.3">
      <c r="A262" t="str">
        <f>"09/28/2021 13:52:40.917"</f>
        <v>09/28/2021 13:52:40.917</v>
      </c>
      <c r="C262" t="str">
        <f t="shared" si="14"/>
        <v>FFDFD3C0</v>
      </c>
      <c r="D262" t="s">
        <v>120</v>
      </c>
      <c r="E262">
        <v>12</v>
      </c>
      <c r="F262">
        <v>1012</v>
      </c>
      <c r="G262" t="s">
        <v>114</v>
      </c>
      <c r="J262" t="s">
        <v>121</v>
      </c>
      <c r="K262">
        <v>0</v>
      </c>
      <c r="L262">
        <v>3</v>
      </c>
      <c r="M262">
        <v>0</v>
      </c>
      <c r="N262">
        <v>2</v>
      </c>
      <c r="O262">
        <v>1</v>
      </c>
      <c r="P262">
        <v>0</v>
      </c>
      <c r="Q262">
        <v>0</v>
      </c>
      <c r="S262" t="str">
        <f>"13:52:40.672"</f>
        <v>13:52:40.672</v>
      </c>
      <c r="T262" t="str">
        <f>"13:52:40.272"</f>
        <v>13:52:40.272</v>
      </c>
      <c r="U262" t="str">
        <f t="shared" si="16"/>
        <v>A92BC1</v>
      </c>
      <c r="V262">
        <v>0</v>
      </c>
      <c r="W262">
        <v>0</v>
      </c>
      <c r="X262">
        <v>2</v>
      </c>
      <c r="Z262">
        <v>0</v>
      </c>
      <c r="AA262">
        <v>9</v>
      </c>
      <c r="AB262">
        <v>3</v>
      </c>
      <c r="AC262">
        <v>0</v>
      </c>
      <c r="AD262">
        <v>10</v>
      </c>
      <c r="AE262">
        <v>0</v>
      </c>
      <c r="AF262">
        <v>3</v>
      </c>
      <c r="AG262">
        <v>2</v>
      </c>
      <c r="AH262">
        <v>0</v>
      </c>
      <c r="AI262" t="s">
        <v>362</v>
      </c>
      <c r="AJ262">
        <v>45.689349</v>
      </c>
      <c r="AK262" t="s">
        <v>363</v>
      </c>
      <c r="AL262">
        <v>-89.451841999999999</v>
      </c>
      <c r="AM262">
        <v>100</v>
      </c>
      <c r="AN262">
        <v>6300</v>
      </c>
      <c r="AO262" t="s">
        <v>118</v>
      </c>
      <c r="AP262">
        <v>121</v>
      </c>
      <c r="AQ262">
        <v>98</v>
      </c>
      <c r="AR262">
        <v>2304</v>
      </c>
      <c r="AZ262">
        <v>1200</v>
      </c>
      <c r="BA262">
        <v>1</v>
      </c>
      <c r="BB262" t="str">
        <f t="shared" si="15"/>
        <v xml:space="preserve">N690LS  </v>
      </c>
      <c r="BC262">
        <v>1</v>
      </c>
      <c r="BE262">
        <v>0</v>
      </c>
      <c r="BF262">
        <v>0</v>
      </c>
      <c r="BG262">
        <v>0</v>
      </c>
      <c r="BH262">
        <v>6400</v>
      </c>
      <c r="BI262">
        <v>1</v>
      </c>
      <c r="BJ262">
        <v>1</v>
      </c>
      <c r="BK262">
        <v>1</v>
      </c>
      <c r="BL262">
        <v>0</v>
      </c>
      <c r="BO262">
        <v>0</v>
      </c>
      <c r="BP262">
        <v>0</v>
      </c>
      <c r="BW262" t="str">
        <f>"13:52:40.679"</f>
        <v>13:52:40.679</v>
      </c>
      <c r="CJ262">
        <v>0</v>
      </c>
      <c r="CK262">
        <v>2</v>
      </c>
      <c r="CL262">
        <v>0</v>
      </c>
      <c r="CM262">
        <v>2</v>
      </c>
      <c r="CN262">
        <v>0</v>
      </c>
      <c r="CO262">
        <v>5</v>
      </c>
      <c r="CP262" t="s">
        <v>119</v>
      </c>
      <c r="CQ262">
        <v>209</v>
      </c>
      <c r="CR262">
        <v>3</v>
      </c>
      <c r="CW262">
        <v>7152133</v>
      </c>
      <c r="CY262">
        <v>1</v>
      </c>
      <c r="CZ262">
        <v>0</v>
      </c>
      <c r="DA262">
        <v>1</v>
      </c>
      <c r="DB262">
        <v>0</v>
      </c>
      <c r="DC262">
        <v>0</v>
      </c>
      <c r="DD262">
        <v>0</v>
      </c>
      <c r="DE262">
        <v>0</v>
      </c>
      <c r="DF262">
        <v>0</v>
      </c>
      <c r="DG262">
        <v>0</v>
      </c>
      <c r="DH262">
        <v>0</v>
      </c>
      <c r="DI262">
        <v>0</v>
      </c>
    </row>
    <row r="263" spans="1:113" x14ac:dyDescent="0.3">
      <c r="A263" t="str">
        <f>"09/28/2021 13:52:41.979"</f>
        <v>09/28/2021 13:52:41.979</v>
      </c>
      <c r="C263" t="str">
        <f t="shared" si="14"/>
        <v>FFDFD3C0</v>
      </c>
      <c r="D263" t="s">
        <v>120</v>
      </c>
      <c r="E263">
        <v>12</v>
      </c>
      <c r="F263">
        <v>1012</v>
      </c>
      <c r="G263" t="s">
        <v>114</v>
      </c>
      <c r="J263" t="s">
        <v>121</v>
      </c>
      <c r="K263">
        <v>0</v>
      </c>
      <c r="L263">
        <v>3</v>
      </c>
      <c r="M263">
        <v>0</v>
      </c>
      <c r="N263">
        <v>2</v>
      </c>
      <c r="O263">
        <v>1</v>
      </c>
      <c r="P263">
        <v>0</v>
      </c>
      <c r="Q263">
        <v>0</v>
      </c>
      <c r="S263" t="str">
        <f>"13:52:41.758"</f>
        <v>13:52:41.758</v>
      </c>
      <c r="T263" t="str">
        <f>"13:52:41.358"</f>
        <v>13:52:41.358</v>
      </c>
      <c r="U263" t="str">
        <f t="shared" si="16"/>
        <v>A92BC1</v>
      </c>
      <c r="V263">
        <v>0</v>
      </c>
      <c r="W263">
        <v>0</v>
      </c>
      <c r="X263">
        <v>2</v>
      </c>
      <c r="Z263">
        <v>0</v>
      </c>
      <c r="AA263">
        <v>9</v>
      </c>
      <c r="AB263">
        <v>3</v>
      </c>
      <c r="AC263">
        <v>0</v>
      </c>
      <c r="AD263">
        <v>10</v>
      </c>
      <c r="AE263">
        <v>0</v>
      </c>
      <c r="AF263">
        <v>3</v>
      </c>
      <c r="AG263">
        <v>2</v>
      </c>
      <c r="AH263">
        <v>0</v>
      </c>
      <c r="AI263" t="s">
        <v>364</v>
      </c>
      <c r="AJ263">
        <v>45.689843000000003</v>
      </c>
      <c r="AK263" t="s">
        <v>365</v>
      </c>
      <c r="AL263">
        <v>-89.450941</v>
      </c>
      <c r="AM263">
        <v>100</v>
      </c>
      <c r="AN263">
        <v>6300</v>
      </c>
      <c r="AO263" t="s">
        <v>118</v>
      </c>
      <c r="AP263">
        <v>121</v>
      </c>
      <c r="AQ263">
        <v>98</v>
      </c>
      <c r="AR263">
        <v>2304</v>
      </c>
      <c r="AZ263">
        <v>1200</v>
      </c>
      <c r="BA263">
        <v>1</v>
      </c>
      <c r="BB263" t="str">
        <f t="shared" si="15"/>
        <v xml:space="preserve">N690LS  </v>
      </c>
      <c r="BC263">
        <v>1</v>
      </c>
      <c r="BE263">
        <v>0</v>
      </c>
      <c r="BF263">
        <v>0</v>
      </c>
      <c r="BG263">
        <v>0</v>
      </c>
      <c r="BH263">
        <v>6425</v>
      </c>
      <c r="BI263">
        <v>1</v>
      </c>
      <c r="BJ263">
        <v>1</v>
      </c>
      <c r="BK263">
        <v>1</v>
      </c>
      <c r="BL263">
        <v>0</v>
      </c>
      <c r="BO263">
        <v>0</v>
      </c>
      <c r="BP263">
        <v>0</v>
      </c>
      <c r="BW263" t="str">
        <f>"13:52:41.759"</f>
        <v>13:52:41.759</v>
      </c>
      <c r="CJ263">
        <v>0</v>
      </c>
      <c r="CK263">
        <v>2</v>
      </c>
      <c r="CL263">
        <v>0</v>
      </c>
      <c r="CM263">
        <v>2</v>
      </c>
      <c r="CN263">
        <v>0</v>
      </c>
      <c r="CO263">
        <v>5</v>
      </c>
      <c r="CP263" t="s">
        <v>119</v>
      </c>
      <c r="CQ263">
        <v>209</v>
      </c>
      <c r="CR263">
        <v>3</v>
      </c>
      <c r="CW263">
        <v>7152579</v>
      </c>
      <c r="CY263">
        <v>1</v>
      </c>
      <c r="CZ263">
        <v>0</v>
      </c>
      <c r="DA263">
        <v>0</v>
      </c>
      <c r="DB263">
        <v>0</v>
      </c>
      <c r="DC263">
        <v>0</v>
      </c>
      <c r="DD263">
        <v>0</v>
      </c>
      <c r="DE263">
        <v>0</v>
      </c>
      <c r="DF263">
        <v>0</v>
      </c>
      <c r="DG263">
        <v>0</v>
      </c>
      <c r="DH263">
        <v>0</v>
      </c>
      <c r="DI263">
        <v>0</v>
      </c>
    </row>
    <row r="264" spans="1:113" x14ac:dyDescent="0.3">
      <c r="A264" t="str">
        <f>"09/28/2021 13:52:41.994"</f>
        <v>09/28/2021 13:52:41.994</v>
      </c>
      <c r="C264" t="str">
        <f t="shared" si="14"/>
        <v>FFDFD3C0</v>
      </c>
      <c r="D264" t="s">
        <v>113</v>
      </c>
      <c r="E264">
        <v>7</v>
      </c>
      <c r="H264">
        <v>170</v>
      </c>
      <c r="I264" t="s">
        <v>114</v>
      </c>
      <c r="J264" t="s">
        <v>115</v>
      </c>
      <c r="K264">
        <v>0</v>
      </c>
      <c r="L264">
        <v>3</v>
      </c>
      <c r="M264">
        <v>0</v>
      </c>
      <c r="N264">
        <v>2</v>
      </c>
      <c r="O264">
        <v>1</v>
      </c>
      <c r="P264">
        <v>0</v>
      </c>
      <c r="Q264">
        <v>0</v>
      </c>
      <c r="S264" t="str">
        <f>"13:52:41.758"</f>
        <v>13:52:41.758</v>
      </c>
      <c r="T264" t="str">
        <f>"13:52:41.358"</f>
        <v>13:52:41.358</v>
      </c>
      <c r="U264" t="str">
        <f t="shared" si="16"/>
        <v>A92BC1</v>
      </c>
      <c r="V264">
        <v>0</v>
      </c>
      <c r="W264">
        <v>0</v>
      </c>
      <c r="X264">
        <v>2</v>
      </c>
      <c r="Z264">
        <v>0</v>
      </c>
      <c r="AA264">
        <v>9</v>
      </c>
      <c r="AB264">
        <v>3</v>
      </c>
      <c r="AC264">
        <v>0</v>
      </c>
      <c r="AD264">
        <v>10</v>
      </c>
      <c r="AE264">
        <v>0</v>
      </c>
      <c r="AF264">
        <v>3</v>
      </c>
      <c r="AG264">
        <v>2</v>
      </c>
      <c r="AH264">
        <v>0</v>
      </c>
      <c r="AI264" t="s">
        <v>364</v>
      </c>
      <c r="AJ264">
        <v>45.689843000000003</v>
      </c>
      <c r="AK264" t="s">
        <v>365</v>
      </c>
      <c r="AL264">
        <v>-89.450941</v>
      </c>
      <c r="AM264">
        <v>100</v>
      </c>
      <c r="AN264">
        <v>6300</v>
      </c>
      <c r="AO264" t="s">
        <v>118</v>
      </c>
      <c r="AP264">
        <v>121</v>
      </c>
      <c r="AQ264">
        <v>98</v>
      </c>
      <c r="AR264">
        <v>2304</v>
      </c>
      <c r="AZ264">
        <v>1200</v>
      </c>
      <c r="BA264">
        <v>1</v>
      </c>
      <c r="BB264" t="str">
        <f t="shared" si="15"/>
        <v xml:space="preserve">N690LS  </v>
      </c>
      <c r="BC264">
        <v>1</v>
      </c>
      <c r="BE264">
        <v>0</v>
      </c>
      <c r="BF264">
        <v>0</v>
      </c>
      <c r="BG264">
        <v>0</v>
      </c>
      <c r="BH264">
        <v>6425</v>
      </c>
      <c r="BI264">
        <v>1</v>
      </c>
      <c r="BJ264">
        <v>1</v>
      </c>
      <c r="BK264">
        <v>1</v>
      </c>
      <c r="BL264">
        <v>0</v>
      </c>
      <c r="BO264">
        <v>0</v>
      </c>
      <c r="BP264">
        <v>0</v>
      </c>
      <c r="BW264" t="str">
        <f>"13:52:41.759"</f>
        <v>13:52:41.759</v>
      </c>
      <c r="CJ264">
        <v>0</v>
      </c>
      <c r="CK264">
        <v>2</v>
      </c>
      <c r="CL264">
        <v>0</v>
      </c>
      <c r="CM264">
        <v>2</v>
      </c>
      <c r="CN264">
        <v>0</v>
      </c>
      <c r="CO264">
        <v>5</v>
      </c>
      <c r="CP264" t="s">
        <v>119</v>
      </c>
      <c r="CQ264">
        <v>209</v>
      </c>
      <c r="CR264">
        <v>3</v>
      </c>
      <c r="CW264">
        <v>7152579</v>
      </c>
      <c r="CY264">
        <v>1</v>
      </c>
      <c r="CZ264">
        <v>0</v>
      </c>
      <c r="DA264">
        <v>1</v>
      </c>
      <c r="DB264">
        <v>0</v>
      </c>
      <c r="DC264">
        <v>0</v>
      </c>
      <c r="DD264">
        <v>0</v>
      </c>
      <c r="DE264">
        <v>0</v>
      </c>
      <c r="DF264">
        <v>0</v>
      </c>
      <c r="DG264">
        <v>0</v>
      </c>
      <c r="DH264">
        <v>0</v>
      </c>
      <c r="DI264">
        <v>0</v>
      </c>
    </row>
    <row r="265" spans="1:113" x14ac:dyDescent="0.3">
      <c r="A265" t="str">
        <f>"09/28/2021 13:52:42.979"</f>
        <v>09/28/2021 13:52:42.979</v>
      </c>
      <c r="C265" t="str">
        <f t="shared" si="14"/>
        <v>FFDFD3C0</v>
      </c>
      <c r="D265" t="s">
        <v>113</v>
      </c>
      <c r="E265">
        <v>7</v>
      </c>
      <c r="H265">
        <v>170</v>
      </c>
      <c r="I265" t="s">
        <v>114</v>
      </c>
      <c r="J265" t="s">
        <v>115</v>
      </c>
      <c r="K265">
        <v>0</v>
      </c>
      <c r="L265">
        <v>3</v>
      </c>
      <c r="M265">
        <v>0</v>
      </c>
      <c r="N265">
        <v>2</v>
      </c>
      <c r="O265">
        <v>1</v>
      </c>
      <c r="P265">
        <v>0</v>
      </c>
      <c r="Q265">
        <v>0</v>
      </c>
      <c r="S265" t="str">
        <f>"13:52:42.727"</f>
        <v>13:52:42.727</v>
      </c>
      <c r="T265" t="str">
        <f>"13:52:42.327"</f>
        <v>13:52:42.327</v>
      </c>
      <c r="U265" t="str">
        <f t="shared" si="16"/>
        <v>A92BC1</v>
      </c>
      <c r="V265">
        <v>0</v>
      </c>
      <c r="W265">
        <v>0</v>
      </c>
      <c r="X265">
        <v>2</v>
      </c>
      <c r="Z265">
        <v>0</v>
      </c>
      <c r="AA265">
        <v>9</v>
      </c>
      <c r="AB265">
        <v>3</v>
      </c>
      <c r="AC265">
        <v>0</v>
      </c>
      <c r="AD265">
        <v>10</v>
      </c>
      <c r="AE265">
        <v>0</v>
      </c>
      <c r="AF265">
        <v>3</v>
      </c>
      <c r="AG265">
        <v>2</v>
      </c>
      <c r="AH265">
        <v>0</v>
      </c>
      <c r="AI265" t="s">
        <v>366</v>
      </c>
      <c r="AJ265">
        <v>45.690314999999998</v>
      </c>
      <c r="AK265" t="s">
        <v>367</v>
      </c>
      <c r="AL265">
        <v>-89.450211999999993</v>
      </c>
      <c r="AM265">
        <v>100</v>
      </c>
      <c r="AN265">
        <v>6400</v>
      </c>
      <c r="AO265" t="s">
        <v>118</v>
      </c>
      <c r="AP265">
        <v>121</v>
      </c>
      <c r="AQ265">
        <v>98</v>
      </c>
      <c r="AR265">
        <v>2304</v>
      </c>
      <c r="AZ265">
        <v>1200</v>
      </c>
      <c r="BA265">
        <v>1</v>
      </c>
      <c r="BB265" t="str">
        <f t="shared" si="15"/>
        <v xml:space="preserve">N690LS  </v>
      </c>
      <c r="BC265">
        <v>1</v>
      </c>
      <c r="BE265">
        <v>0</v>
      </c>
      <c r="BF265">
        <v>0</v>
      </c>
      <c r="BG265">
        <v>0</v>
      </c>
      <c r="BH265">
        <v>6475</v>
      </c>
      <c r="BI265">
        <v>1</v>
      </c>
      <c r="BJ265">
        <v>1</v>
      </c>
      <c r="BK265">
        <v>1</v>
      </c>
      <c r="BL265">
        <v>0</v>
      </c>
      <c r="BO265">
        <v>0</v>
      </c>
      <c r="BP265">
        <v>0</v>
      </c>
      <c r="BW265" t="str">
        <f>"13:52:42.729"</f>
        <v>13:52:42.729</v>
      </c>
      <c r="CJ265">
        <v>0</v>
      </c>
      <c r="CK265">
        <v>2</v>
      </c>
      <c r="CL265">
        <v>0</v>
      </c>
      <c r="CM265">
        <v>2</v>
      </c>
      <c r="CN265">
        <v>0</v>
      </c>
      <c r="CO265">
        <v>7</v>
      </c>
      <c r="CP265" t="s">
        <v>119</v>
      </c>
      <c r="CQ265">
        <v>197</v>
      </c>
      <c r="CR265">
        <v>2</v>
      </c>
      <c r="CW265">
        <v>2210244</v>
      </c>
      <c r="CY265">
        <v>1</v>
      </c>
      <c r="CZ265">
        <v>0</v>
      </c>
      <c r="DA265">
        <v>0</v>
      </c>
      <c r="DB265">
        <v>0</v>
      </c>
      <c r="DC265">
        <v>0</v>
      </c>
      <c r="DD265">
        <v>0</v>
      </c>
      <c r="DE265">
        <v>0</v>
      </c>
      <c r="DF265">
        <v>0</v>
      </c>
      <c r="DG265">
        <v>0</v>
      </c>
      <c r="DH265">
        <v>0</v>
      </c>
      <c r="DI265">
        <v>0</v>
      </c>
    </row>
    <row r="266" spans="1:113" x14ac:dyDescent="0.3">
      <c r="A266" t="str">
        <f>"09/28/2021 13:52:42.979"</f>
        <v>09/28/2021 13:52:42.979</v>
      </c>
      <c r="C266" t="str">
        <f t="shared" si="14"/>
        <v>FFDFD3C0</v>
      </c>
      <c r="D266" t="s">
        <v>120</v>
      </c>
      <c r="E266">
        <v>12</v>
      </c>
      <c r="F266">
        <v>1012</v>
      </c>
      <c r="G266" t="s">
        <v>114</v>
      </c>
      <c r="J266" t="s">
        <v>121</v>
      </c>
      <c r="K266">
        <v>0</v>
      </c>
      <c r="L266">
        <v>3</v>
      </c>
      <c r="M266">
        <v>0</v>
      </c>
      <c r="N266">
        <v>2</v>
      </c>
      <c r="O266">
        <v>1</v>
      </c>
      <c r="P266">
        <v>0</v>
      </c>
      <c r="Q266">
        <v>0</v>
      </c>
      <c r="S266" t="str">
        <f>"13:52:42.727"</f>
        <v>13:52:42.727</v>
      </c>
      <c r="T266" t="str">
        <f>"13:52:42.327"</f>
        <v>13:52:42.327</v>
      </c>
      <c r="U266" t="str">
        <f t="shared" si="16"/>
        <v>A92BC1</v>
      </c>
      <c r="V266">
        <v>0</v>
      </c>
      <c r="W266">
        <v>0</v>
      </c>
      <c r="X266">
        <v>2</v>
      </c>
      <c r="Z266">
        <v>0</v>
      </c>
      <c r="AA266">
        <v>9</v>
      </c>
      <c r="AB266">
        <v>3</v>
      </c>
      <c r="AC266">
        <v>0</v>
      </c>
      <c r="AD266">
        <v>10</v>
      </c>
      <c r="AE266">
        <v>0</v>
      </c>
      <c r="AF266">
        <v>3</v>
      </c>
      <c r="AG266">
        <v>2</v>
      </c>
      <c r="AH266">
        <v>0</v>
      </c>
      <c r="AI266" t="s">
        <v>366</v>
      </c>
      <c r="AJ266">
        <v>45.690314999999998</v>
      </c>
      <c r="AK266" t="s">
        <v>367</v>
      </c>
      <c r="AL266">
        <v>-89.450211999999993</v>
      </c>
      <c r="AM266">
        <v>100</v>
      </c>
      <c r="AN266">
        <v>6400</v>
      </c>
      <c r="AO266" t="s">
        <v>118</v>
      </c>
      <c r="AP266">
        <v>121</v>
      </c>
      <c r="AQ266">
        <v>98</v>
      </c>
      <c r="AR266">
        <v>2304</v>
      </c>
      <c r="AZ266">
        <v>1200</v>
      </c>
      <c r="BA266">
        <v>1</v>
      </c>
      <c r="BB266" t="str">
        <f t="shared" si="15"/>
        <v xml:space="preserve">N690LS  </v>
      </c>
      <c r="BC266">
        <v>1</v>
      </c>
      <c r="BE266">
        <v>0</v>
      </c>
      <c r="BF266">
        <v>0</v>
      </c>
      <c r="BG266">
        <v>0</v>
      </c>
      <c r="BH266">
        <v>6475</v>
      </c>
      <c r="BI266">
        <v>1</v>
      </c>
      <c r="BJ266">
        <v>1</v>
      </c>
      <c r="BK266">
        <v>1</v>
      </c>
      <c r="BL266">
        <v>0</v>
      </c>
      <c r="BO266">
        <v>0</v>
      </c>
      <c r="BP266">
        <v>0</v>
      </c>
      <c r="BW266" t="str">
        <f>"13:52:42.729"</f>
        <v>13:52:42.729</v>
      </c>
      <c r="CJ266">
        <v>0</v>
      </c>
      <c r="CK266">
        <v>2</v>
      </c>
      <c r="CL266">
        <v>0</v>
      </c>
      <c r="CM266">
        <v>2</v>
      </c>
      <c r="CN266">
        <v>0</v>
      </c>
      <c r="CO266">
        <v>7</v>
      </c>
      <c r="CP266" t="s">
        <v>119</v>
      </c>
      <c r="CQ266">
        <v>197</v>
      </c>
      <c r="CR266">
        <v>2</v>
      </c>
      <c r="CW266">
        <v>2210244</v>
      </c>
      <c r="CY266">
        <v>1</v>
      </c>
      <c r="CZ266">
        <v>0</v>
      </c>
      <c r="DA266">
        <v>1</v>
      </c>
      <c r="DB266">
        <v>0</v>
      </c>
      <c r="DC266">
        <v>0</v>
      </c>
      <c r="DD266">
        <v>0</v>
      </c>
      <c r="DE266">
        <v>0</v>
      </c>
      <c r="DF266">
        <v>0</v>
      </c>
      <c r="DG266">
        <v>0</v>
      </c>
      <c r="DH266">
        <v>0</v>
      </c>
      <c r="DI266">
        <v>0</v>
      </c>
    </row>
    <row r="267" spans="1:113" x14ac:dyDescent="0.3">
      <c r="A267" t="str">
        <f>"09/28/2021 13:52:43.855"</f>
        <v>09/28/2021 13:52:43.855</v>
      </c>
      <c r="C267" t="str">
        <f t="shared" si="14"/>
        <v>FFDFD3C0</v>
      </c>
      <c r="D267" t="s">
        <v>120</v>
      </c>
      <c r="E267">
        <v>12</v>
      </c>
      <c r="F267">
        <v>1012</v>
      </c>
      <c r="G267" t="s">
        <v>114</v>
      </c>
      <c r="J267" t="s">
        <v>121</v>
      </c>
      <c r="K267">
        <v>0</v>
      </c>
      <c r="L267">
        <v>3</v>
      </c>
      <c r="M267">
        <v>0</v>
      </c>
      <c r="N267">
        <v>2</v>
      </c>
      <c r="O267">
        <v>1</v>
      </c>
      <c r="P267">
        <v>0</v>
      </c>
      <c r="Q267">
        <v>0</v>
      </c>
      <c r="S267" t="str">
        <f>"13:52:43.656"</f>
        <v>13:52:43.656</v>
      </c>
      <c r="T267" t="str">
        <f>"13:52:43.256"</f>
        <v>13:52:43.256</v>
      </c>
      <c r="U267" t="str">
        <f t="shared" si="16"/>
        <v>A92BC1</v>
      </c>
      <c r="V267">
        <v>0</v>
      </c>
      <c r="W267">
        <v>0</v>
      </c>
      <c r="X267">
        <v>2</v>
      </c>
      <c r="Z267">
        <v>0</v>
      </c>
      <c r="AA267">
        <v>9</v>
      </c>
      <c r="AB267">
        <v>3</v>
      </c>
      <c r="AC267">
        <v>0</v>
      </c>
      <c r="AD267">
        <v>10</v>
      </c>
      <c r="AE267">
        <v>0</v>
      </c>
      <c r="AF267">
        <v>3</v>
      </c>
      <c r="AG267">
        <v>2</v>
      </c>
      <c r="AH267">
        <v>0</v>
      </c>
      <c r="AI267" t="s">
        <v>368</v>
      </c>
      <c r="AJ267">
        <v>45.690700999999997</v>
      </c>
      <c r="AK267" t="s">
        <v>369</v>
      </c>
      <c r="AL267">
        <v>-89.449438999999998</v>
      </c>
      <c r="AM267">
        <v>100</v>
      </c>
      <c r="AN267">
        <v>6400</v>
      </c>
      <c r="AO267" t="s">
        <v>118</v>
      </c>
      <c r="AP267">
        <v>121</v>
      </c>
      <c r="AQ267">
        <v>98</v>
      </c>
      <c r="AR267">
        <v>2304</v>
      </c>
      <c r="AZ267">
        <v>1200</v>
      </c>
      <c r="BA267">
        <v>1</v>
      </c>
      <c r="BB267" t="str">
        <f t="shared" si="15"/>
        <v xml:space="preserve">N690LS  </v>
      </c>
      <c r="BC267">
        <v>1</v>
      </c>
      <c r="BE267">
        <v>0</v>
      </c>
      <c r="BF267">
        <v>0</v>
      </c>
      <c r="BG267">
        <v>0</v>
      </c>
      <c r="BH267">
        <v>6525</v>
      </c>
      <c r="BI267">
        <v>1</v>
      </c>
      <c r="BJ267">
        <v>1</v>
      </c>
      <c r="BK267">
        <v>1</v>
      </c>
      <c r="BL267">
        <v>0</v>
      </c>
      <c r="BO267">
        <v>0</v>
      </c>
      <c r="BP267">
        <v>0</v>
      </c>
      <c r="BW267" t="str">
        <f>"13:52:43.662"</f>
        <v>13:52:43.662</v>
      </c>
      <c r="CJ267">
        <v>0</v>
      </c>
      <c r="CK267">
        <v>2</v>
      </c>
      <c r="CL267">
        <v>0</v>
      </c>
      <c r="CM267">
        <v>2</v>
      </c>
      <c r="CN267">
        <v>0</v>
      </c>
      <c r="CO267">
        <v>5</v>
      </c>
      <c r="CP267" t="s">
        <v>119</v>
      </c>
      <c r="CQ267">
        <v>210</v>
      </c>
      <c r="CR267">
        <v>2</v>
      </c>
      <c r="CW267">
        <v>2164542</v>
      </c>
      <c r="CY267">
        <v>1</v>
      </c>
      <c r="CZ267">
        <v>0</v>
      </c>
      <c r="DA267">
        <v>0</v>
      </c>
      <c r="DB267">
        <v>0</v>
      </c>
      <c r="DC267">
        <v>0</v>
      </c>
      <c r="DD267">
        <v>0</v>
      </c>
      <c r="DE267">
        <v>0</v>
      </c>
      <c r="DF267">
        <v>0</v>
      </c>
      <c r="DG267">
        <v>0</v>
      </c>
      <c r="DH267">
        <v>0</v>
      </c>
      <c r="DI267">
        <v>0</v>
      </c>
    </row>
    <row r="268" spans="1:113" x14ac:dyDescent="0.3">
      <c r="A268" t="str">
        <f>"09/28/2021 13:52:43.871"</f>
        <v>09/28/2021 13:52:43.871</v>
      </c>
      <c r="C268" t="str">
        <f t="shared" si="14"/>
        <v>FFDFD3C0</v>
      </c>
      <c r="D268" t="s">
        <v>113</v>
      </c>
      <c r="E268">
        <v>7</v>
      </c>
      <c r="H268">
        <v>170</v>
      </c>
      <c r="I268" t="s">
        <v>114</v>
      </c>
      <c r="J268" t="s">
        <v>115</v>
      </c>
      <c r="K268">
        <v>0</v>
      </c>
      <c r="L268">
        <v>3</v>
      </c>
      <c r="M268">
        <v>0</v>
      </c>
      <c r="N268">
        <v>2</v>
      </c>
      <c r="O268">
        <v>1</v>
      </c>
      <c r="P268">
        <v>0</v>
      </c>
      <c r="Q268">
        <v>0</v>
      </c>
      <c r="S268" t="str">
        <f>"13:52:43.656"</f>
        <v>13:52:43.656</v>
      </c>
      <c r="T268" t="str">
        <f>"13:52:43.256"</f>
        <v>13:52:43.256</v>
      </c>
      <c r="U268" t="str">
        <f t="shared" si="16"/>
        <v>A92BC1</v>
      </c>
      <c r="V268">
        <v>0</v>
      </c>
      <c r="W268">
        <v>0</v>
      </c>
      <c r="X268">
        <v>2</v>
      </c>
      <c r="Z268">
        <v>0</v>
      </c>
      <c r="AA268">
        <v>9</v>
      </c>
      <c r="AB268">
        <v>3</v>
      </c>
      <c r="AC268">
        <v>0</v>
      </c>
      <c r="AD268">
        <v>10</v>
      </c>
      <c r="AE268">
        <v>0</v>
      </c>
      <c r="AF268">
        <v>3</v>
      </c>
      <c r="AG268">
        <v>2</v>
      </c>
      <c r="AH268">
        <v>0</v>
      </c>
      <c r="AI268" t="s">
        <v>368</v>
      </c>
      <c r="AJ268">
        <v>45.690700999999997</v>
      </c>
      <c r="AK268" t="s">
        <v>369</v>
      </c>
      <c r="AL268">
        <v>-89.449438999999998</v>
      </c>
      <c r="AM268">
        <v>100</v>
      </c>
      <c r="AN268">
        <v>6400</v>
      </c>
      <c r="AO268" t="s">
        <v>118</v>
      </c>
      <c r="AP268">
        <v>121</v>
      </c>
      <c r="AQ268">
        <v>98</v>
      </c>
      <c r="AR268">
        <v>2304</v>
      </c>
      <c r="AZ268">
        <v>1200</v>
      </c>
      <c r="BA268">
        <v>1</v>
      </c>
      <c r="BB268" t="str">
        <f t="shared" si="15"/>
        <v xml:space="preserve">N690LS  </v>
      </c>
      <c r="BC268">
        <v>1</v>
      </c>
      <c r="BE268">
        <v>0</v>
      </c>
      <c r="BF268">
        <v>0</v>
      </c>
      <c r="BG268">
        <v>0</v>
      </c>
      <c r="BH268">
        <v>6525</v>
      </c>
      <c r="BI268">
        <v>1</v>
      </c>
      <c r="BJ268">
        <v>1</v>
      </c>
      <c r="BK268">
        <v>1</v>
      </c>
      <c r="BL268">
        <v>0</v>
      </c>
      <c r="BO268">
        <v>0</v>
      </c>
      <c r="BP268">
        <v>0</v>
      </c>
      <c r="BW268" t="str">
        <f>"13:52:43.662"</f>
        <v>13:52:43.662</v>
      </c>
      <c r="CJ268">
        <v>0</v>
      </c>
      <c r="CK268">
        <v>2</v>
      </c>
      <c r="CL268">
        <v>0</v>
      </c>
      <c r="CM268">
        <v>2</v>
      </c>
      <c r="CN268">
        <v>0</v>
      </c>
      <c r="CO268">
        <v>5</v>
      </c>
      <c r="CP268" t="s">
        <v>119</v>
      </c>
      <c r="CQ268">
        <v>210</v>
      </c>
      <c r="CR268">
        <v>2</v>
      </c>
      <c r="CW268">
        <v>2164542</v>
      </c>
      <c r="CY268">
        <v>1</v>
      </c>
      <c r="CZ268">
        <v>0</v>
      </c>
      <c r="DA268">
        <v>1</v>
      </c>
      <c r="DB268">
        <v>0</v>
      </c>
      <c r="DC268">
        <v>0</v>
      </c>
      <c r="DD268">
        <v>0</v>
      </c>
      <c r="DE268">
        <v>0</v>
      </c>
      <c r="DF268">
        <v>0</v>
      </c>
      <c r="DG268">
        <v>0</v>
      </c>
      <c r="DH268">
        <v>0</v>
      </c>
      <c r="DI268">
        <v>0</v>
      </c>
    </row>
    <row r="269" spans="1:113" x14ac:dyDescent="0.3">
      <c r="A269" t="str">
        <f>"09/28/2021 13:52:44.777"</f>
        <v>09/28/2021 13:52:44.777</v>
      </c>
      <c r="C269" t="str">
        <f t="shared" si="14"/>
        <v>FFDFD3C0</v>
      </c>
      <c r="D269" t="s">
        <v>113</v>
      </c>
      <c r="E269">
        <v>7</v>
      </c>
      <c r="H269">
        <v>170</v>
      </c>
      <c r="I269" t="s">
        <v>114</v>
      </c>
      <c r="J269" t="s">
        <v>115</v>
      </c>
      <c r="K269">
        <v>0</v>
      </c>
      <c r="L269">
        <v>3</v>
      </c>
      <c r="M269">
        <v>0</v>
      </c>
      <c r="N269">
        <v>2</v>
      </c>
      <c r="O269">
        <v>1</v>
      </c>
      <c r="P269">
        <v>0</v>
      </c>
      <c r="Q269">
        <v>0</v>
      </c>
      <c r="S269" t="str">
        <f>"13:52:44.586"</f>
        <v>13:52:44.586</v>
      </c>
      <c r="T269" t="str">
        <f>"13:52:44.186"</f>
        <v>13:52:44.186</v>
      </c>
      <c r="U269" t="str">
        <f t="shared" si="16"/>
        <v>A92BC1</v>
      </c>
      <c r="V269">
        <v>0</v>
      </c>
      <c r="W269">
        <v>0</v>
      </c>
      <c r="X269">
        <v>2</v>
      </c>
      <c r="Z269">
        <v>0</v>
      </c>
      <c r="AA269">
        <v>9</v>
      </c>
      <c r="AB269">
        <v>3</v>
      </c>
      <c r="AC269">
        <v>0</v>
      </c>
      <c r="AD269">
        <v>10</v>
      </c>
      <c r="AE269">
        <v>0</v>
      </c>
      <c r="AF269">
        <v>3</v>
      </c>
      <c r="AG269">
        <v>2</v>
      </c>
      <c r="AH269">
        <v>0</v>
      </c>
      <c r="AI269" t="s">
        <v>370</v>
      </c>
      <c r="AJ269">
        <v>45.691130000000001</v>
      </c>
      <c r="AK269" t="s">
        <v>371</v>
      </c>
      <c r="AL269">
        <v>-89.448730999999995</v>
      </c>
      <c r="AM269">
        <v>100</v>
      </c>
      <c r="AN269">
        <v>6400</v>
      </c>
      <c r="AO269" t="s">
        <v>118</v>
      </c>
      <c r="AP269">
        <v>121</v>
      </c>
      <c r="AQ269">
        <v>98</v>
      </c>
      <c r="AR269">
        <v>2304</v>
      </c>
      <c r="AZ269">
        <v>1200</v>
      </c>
      <c r="BA269">
        <v>1</v>
      </c>
      <c r="BB269" t="str">
        <f t="shared" si="15"/>
        <v xml:space="preserve">N690LS  </v>
      </c>
      <c r="BC269">
        <v>1</v>
      </c>
      <c r="BE269">
        <v>0</v>
      </c>
      <c r="BF269">
        <v>0</v>
      </c>
      <c r="BG269">
        <v>0</v>
      </c>
      <c r="BH269">
        <v>6550</v>
      </c>
      <c r="BI269">
        <v>1</v>
      </c>
      <c r="BJ269">
        <v>1</v>
      </c>
      <c r="BK269">
        <v>1</v>
      </c>
      <c r="BL269">
        <v>0</v>
      </c>
      <c r="BO269">
        <v>0</v>
      </c>
      <c r="BP269">
        <v>0</v>
      </c>
      <c r="BW269" t="str">
        <f>"13:52:44.589"</f>
        <v>13:52:44.589</v>
      </c>
      <c r="CJ269">
        <v>0</v>
      </c>
      <c r="CK269">
        <v>2</v>
      </c>
      <c r="CL269">
        <v>0</v>
      </c>
      <c r="CM269">
        <v>2</v>
      </c>
      <c r="CN269">
        <v>0</v>
      </c>
      <c r="CO269">
        <v>5</v>
      </c>
      <c r="CP269" t="s">
        <v>119</v>
      </c>
      <c r="CQ269">
        <v>210</v>
      </c>
      <c r="CR269">
        <v>2</v>
      </c>
      <c r="CW269">
        <v>2165052</v>
      </c>
      <c r="CY269">
        <v>1</v>
      </c>
      <c r="CZ269">
        <v>0</v>
      </c>
      <c r="DA269">
        <v>0</v>
      </c>
      <c r="DB269">
        <v>0</v>
      </c>
      <c r="DC269">
        <v>0</v>
      </c>
      <c r="DD269">
        <v>0</v>
      </c>
      <c r="DE269">
        <v>0</v>
      </c>
      <c r="DF269">
        <v>0</v>
      </c>
      <c r="DG269">
        <v>0</v>
      </c>
      <c r="DH269">
        <v>0</v>
      </c>
      <c r="DI269">
        <v>0</v>
      </c>
    </row>
    <row r="270" spans="1:113" x14ac:dyDescent="0.3">
      <c r="A270" t="str">
        <f>"09/28/2021 13:52:44.777"</f>
        <v>09/28/2021 13:52:44.777</v>
      </c>
      <c r="C270" t="str">
        <f t="shared" si="14"/>
        <v>FFDFD3C0</v>
      </c>
      <c r="D270" t="s">
        <v>120</v>
      </c>
      <c r="E270">
        <v>12</v>
      </c>
      <c r="F270">
        <v>1012</v>
      </c>
      <c r="G270" t="s">
        <v>114</v>
      </c>
      <c r="J270" t="s">
        <v>121</v>
      </c>
      <c r="K270">
        <v>0</v>
      </c>
      <c r="L270">
        <v>3</v>
      </c>
      <c r="M270">
        <v>0</v>
      </c>
      <c r="N270">
        <v>2</v>
      </c>
      <c r="O270">
        <v>1</v>
      </c>
      <c r="P270">
        <v>0</v>
      </c>
      <c r="Q270">
        <v>0</v>
      </c>
      <c r="S270" t="str">
        <f>"13:52:44.586"</f>
        <v>13:52:44.586</v>
      </c>
      <c r="T270" t="str">
        <f>"13:52:44.186"</f>
        <v>13:52:44.186</v>
      </c>
      <c r="U270" t="str">
        <f t="shared" si="16"/>
        <v>A92BC1</v>
      </c>
      <c r="V270">
        <v>0</v>
      </c>
      <c r="W270">
        <v>0</v>
      </c>
      <c r="X270">
        <v>2</v>
      </c>
      <c r="Z270">
        <v>0</v>
      </c>
      <c r="AA270">
        <v>9</v>
      </c>
      <c r="AB270">
        <v>3</v>
      </c>
      <c r="AC270">
        <v>0</v>
      </c>
      <c r="AD270">
        <v>10</v>
      </c>
      <c r="AE270">
        <v>0</v>
      </c>
      <c r="AF270">
        <v>3</v>
      </c>
      <c r="AG270">
        <v>2</v>
      </c>
      <c r="AH270">
        <v>0</v>
      </c>
      <c r="AI270" t="s">
        <v>370</v>
      </c>
      <c r="AJ270">
        <v>45.691130000000001</v>
      </c>
      <c r="AK270" t="s">
        <v>371</v>
      </c>
      <c r="AL270">
        <v>-89.448730999999995</v>
      </c>
      <c r="AM270">
        <v>100</v>
      </c>
      <c r="AN270">
        <v>6400</v>
      </c>
      <c r="AO270" t="s">
        <v>118</v>
      </c>
      <c r="AP270">
        <v>121</v>
      </c>
      <c r="AQ270">
        <v>98</v>
      </c>
      <c r="AR270">
        <v>2304</v>
      </c>
      <c r="AZ270">
        <v>1200</v>
      </c>
      <c r="BA270">
        <v>1</v>
      </c>
      <c r="BB270" t="str">
        <f t="shared" si="15"/>
        <v xml:space="preserve">N690LS  </v>
      </c>
      <c r="BC270">
        <v>1</v>
      </c>
      <c r="BE270">
        <v>0</v>
      </c>
      <c r="BF270">
        <v>0</v>
      </c>
      <c r="BG270">
        <v>0</v>
      </c>
      <c r="BH270">
        <v>6550</v>
      </c>
      <c r="BI270">
        <v>1</v>
      </c>
      <c r="BJ270">
        <v>1</v>
      </c>
      <c r="BK270">
        <v>1</v>
      </c>
      <c r="BL270">
        <v>0</v>
      </c>
      <c r="BO270">
        <v>0</v>
      </c>
      <c r="BP270">
        <v>0</v>
      </c>
      <c r="BW270" t="str">
        <f>"13:52:44.589"</f>
        <v>13:52:44.589</v>
      </c>
      <c r="CJ270">
        <v>0</v>
      </c>
      <c r="CK270">
        <v>2</v>
      </c>
      <c r="CL270">
        <v>0</v>
      </c>
      <c r="CM270">
        <v>2</v>
      </c>
      <c r="CN270">
        <v>0</v>
      </c>
      <c r="CO270">
        <v>5</v>
      </c>
      <c r="CP270" t="s">
        <v>119</v>
      </c>
      <c r="CQ270">
        <v>210</v>
      </c>
      <c r="CR270">
        <v>2</v>
      </c>
      <c r="CW270">
        <v>2165052</v>
      </c>
      <c r="CY270">
        <v>1</v>
      </c>
      <c r="CZ270">
        <v>0</v>
      </c>
      <c r="DA270">
        <v>1</v>
      </c>
      <c r="DB270">
        <v>0</v>
      </c>
      <c r="DC270">
        <v>0</v>
      </c>
      <c r="DD270">
        <v>0</v>
      </c>
      <c r="DE270">
        <v>0</v>
      </c>
      <c r="DF270">
        <v>0</v>
      </c>
      <c r="DG270">
        <v>0</v>
      </c>
      <c r="DH270">
        <v>0</v>
      </c>
      <c r="DI270">
        <v>0</v>
      </c>
    </row>
    <row r="271" spans="1:113" x14ac:dyDescent="0.3">
      <c r="A271" t="str">
        <f>"09/28/2021 13:52:45.839"</f>
        <v>09/28/2021 13:52:45.839</v>
      </c>
      <c r="C271" t="str">
        <f t="shared" si="14"/>
        <v>FFDFD3C0</v>
      </c>
      <c r="D271" t="s">
        <v>113</v>
      </c>
      <c r="E271">
        <v>7</v>
      </c>
      <c r="H271">
        <v>170</v>
      </c>
      <c r="I271" t="s">
        <v>114</v>
      </c>
      <c r="J271" t="s">
        <v>115</v>
      </c>
      <c r="K271">
        <v>0</v>
      </c>
      <c r="L271">
        <v>3</v>
      </c>
      <c r="M271">
        <v>0</v>
      </c>
      <c r="N271">
        <v>2</v>
      </c>
      <c r="O271">
        <v>1</v>
      </c>
      <c r="P271">
        <v>0</v>
      </c>
      <c r="Q271">
        <v>0</v>
      </c>
      <c r="S271" t="str">
        <f>"13:52:45.594"</f>
        <v>13:52:45.594</v>
      </c>
      <c r="T271" t="str">
        <f>"13:52:45.194"</f>
        <v>13:52:45.194</v>
      </c>
      <c r="U271" t="str">
        <f t="shared" si="16"/>
        <v>A92BC1</v>
      </c>
      <c r="V271">
        <v>0</v>
      </c>
      <c r="W271">
        <v>0</v>
      </c>
      <c r="X271">
        <v>2</v>
      </c>
      <c r="Z271">
        <v>0</v>
      </c>
      <c r="AA271">
        <v>9</v>
      </c>
      <c r="AB271">
        <v>3</v>
      </c>
      <c r="AC271">
        <v>0</v>
      </c>
      <c r="AD271">
        <v>10</v>
      </c>
      <c r="AE271">
        <v>0</v>
      </c>
      <c r="AF271">
        <v>3</v>
      </c>
      <c r="AG271">
        <v>2</v>
      </c>
      <c r="AH271">
        <v>0</v>
      </c>
      <c r="AI271" t="s">
        <v>372</v>
      </c>
      <c r="AJ271">
        <v>45.691580999999999</v>
      </c>
      <c r="AK271" t="s">
        <v>373</v>
      </c>
      <c r="AL271">
        <v>-89.447936999999996</v>
      </c>
      <c r="AM271">
        <v>100</v>
      </c>
      <c r="AN271">
        <v>6500</v>
      </c>
      <c r="AO271" t="s">
        <v>118</v>
      </c>
      <c r="AP271">
        <v>121</v>
      </c>
      <c r="AQ271">
        <v>97</v>
      </c>
      <c r="AR271">
        <v>2304</v>
      </c>
      <c r="AZ271">
        <v>1200</v>
      </c>
      <c r="BA271">
        <v>1</v>
      </c>
      <c r="BB271" t="str">
        <f t="shared" si="15"/>
        <v xml:space="preserve">N690LS  </v>
      </c>
      <c r="BC271">
        <v>1</v>
      </c>
      <c r="BE271">
        <v>0</v>
      </c>
      <c r="BF271">
        <v>0</v>
      </c>
      <c r="BG271">
        <v>0</v>
      </c>
      <c r="BH271">
        <v>6575</v>
      </c>
      <c r="BI271">
        <v>1</v>
      </c>
      <c r="BJ271">
        <v>1</v>
      </c>
      <c r="BK271">
        <v>1</v>
      </c>
      <c r="BL271">
        <v>0</v>
      </c>
      <c r="BO271">
        <v>0</v>
      </c>
      <c r="BP271">
        <v>0</v>
      </c>
      <c r="BW271" t="str">
        <f>"13:52:45.598"</f>
        <v>13:52:45.598</v>
      </c>
      <c r="CJ271">
        <v>0</v>
      </c>
      <c r="CK271">
        <v>2</v>
      </c>
      <c r="CL271">
        <v>0</v>
      </c>
      <c r="CM271">
        <v>2</v>
      </c>
      <c r="CN271">
        <v>0</v>
      </c>
      <c r="CO271">
        <v>7</v>
      </c>
      <c r="CP271" t="s">
        <v>119</v>
      </c>
      <c r="CQ271">
        <v>197</v>
      </c>
      <c r="CR271">
        <v>2</v>
      </c>
      <c r="CW271">
        <v>2212713</v>
      </c>
      <c r="CY271">
        <v>1</v>
      </c>
      <c r="CZ271">
        <v>0</v>
      </c>
      <c r="DA271">
        <v>0</v>
      </c>
      <c r="DB271">
        <v>0</v>
      </c>
      <c r="DC271">
        <v>0</v>
      </c>
      <c r="DD271">
        <v>0</v>
      </c>
      <c r="DE271">
        <v>0</v>
      </c>
      <c r="DF271">
        <v>0</v>
      </c>
      <c r="DG271">
        <v>0</v>
      </c>
      <c r="DH271">
        <v>0</v>
      </c>
      <c r="DI271">
        <v>0</v>
      </c>
    </row>
    <row r="272" spans="1:113" x14ac:dyDescent="0.3">
      <c r="A272" t="str">
        <f>"09/28/2021 13:52:45.839"</f>
        <v>09/28/2021 13:52:45.839</v>
      </c>
      <c r="C272" t="str">
        <f t="shared" si="14"/>
        <v>FFDFD3C0</v>
      </c>
      <c r="D272" t="s">
        <v>120</v>
      </c>
      <c r="E272">
        <v>12</v>
      </c>
      <c r="F272">
        <v>1012</v>
      </c>
      <c r="G272" t="s">
        <v>114</v>
      </c>
      <c r="J272" t="s">
        <v>121</v>
      </c>
      <c r="K272">
        <v>0</v>
      </c>
      <c r="L272">
        <v>3</v>
      </c>
      <c r="M272">
        <v>0</v>
      </c>
      <c r="N272">
        <v>2</v>
      </c>
      <c r="O272">
        <v>1</v>
      </c>
      <c r="P272">
        <v>0</v>
      </c>
      <c r="Q272">
        <v>0</v>
      </c>
      <c r="S272" t="str">
        <f>"13:52:45.594"</f>
        <v>13:52:45.594</v>
      </c>
      <c r="T272" t="str">
        <f>"13:52:45.194"</f>
        <v>13:52:45.194</v>
      </c>
      <c r="U272" t="str">
        <f t="shared" si="16"/>
        <v>A92BC1</v>
      </c>
      <c r="V272">
        <v>0</v>
      </c>
      <c r="W272">
        <v>0</v>
      </c>
      <c r="X272">
        <v>2</v>
      </c>
      <c r="Z272">
        <v>0</v>
      </c>
      <c r="AA272">
        <v>9</v>
      </c>
      <c r="AB272">
        <v>3</v>
      </c>
      <c r="AC272">
        <v>0</v>
      </c>
      <c r="AD272">
        <v>10</v>
      </c>
      <c r="AE272">
        <v>0</v>
      </c>
      <c r="AF272">
        <v>3</v>
      </c>
      <c r="AG272">
        <v>2</v>
      </c>
      <c r="AH272">
        <v>0</v>
      </c>
      <c r="AI272" t="s">
        <v>372</v>
      </c>
      <c r="AJ272">
        <v>45.691580999999999</v>
      </c>
      <c r="AK272" t="s">
        <v>373</v>
      </c>
      <c r="AL272">
        <v>-89.447936999999996</v>
      </c>
      <c r="AM272">
        <v>100</v>
      </c>
      <c r="AN272">
        <v>6500</v>
      </c>
      <c r="AO272" t="s">
        <v>118</v>
      </c>
      <c r="AP272">
        <v>121</v>
      </c>
      <c r="AQ272">
        <v>97</v>
      </c>
      <c r="AR272">
        <v>2304</v>
      </c>
      <c r="AZ272">
        <v>1200</v>
      </c>
      <c r="BA272">
        <v>1</v>
      </c>
      <c r="BB272" t="str">
        <f t="shared" si="15"/>
        <v xml:space="preserve">N690LS  </v>
      </c>
      <c r="BC272">
        <v>1</v>
      </c>
      <c r="BE272">
        <v>0</v>
      </c>
      <c r="BF272">
        <v>0</v>
      </c>
      <c r="BG272">
        <v>0</v>
      </c>
      <c r="BH272">
        <v>6575</v>
      </c>
      <c r="BI272">
        <v>1</v>
      </c>
      <c r="BJ272">
        <v>1</v>
      </c>
      <c r="BK272">
        <v>1</v>
      </c>
      <c r="BL272">
        <v>0</v>
      </c>
      <c r="BO272">
        <v>0</v>
      </c>
      <c r="BP272">
        <v>0</v>
      </c>
      <c r="BW272" t="str">
        <f>"13:52:45.598"</f>
        <v>13:52:45.598</v>
      </c>
      <c r="CJ272">
        <v>0</v>
      </c>
      <c r="CK272">
        <v>2</v>
      </c>
      <c r="CL272">
        <v>0</v>
      </c>
      <c r="CM272">
        <v>2</v>
      </c>
      <c r="CN272">
        <v>0</v>
      </c>
      <c r="CO272">
        <v>7</v>
      </c>
      <c r="CP272" t="s">
        <v>119</v>
      </c>
      <c r="CQ272">
        <v>197</v>
      </c>
      <c r="CR272">
        <v>2</v>
      </c>
      <c r="CW272">
        <v>2212713</v>
      </c>
      <c r="CY272">
        <v>1</v>
      </c>
      <c r="CZ272">
        <v>0</v>
      </c>
      <c r="DA272">
        <v>1</v>
      </c>
      <c r="DB272">
        <v>0</v>
      </c>
      <c r="DC272">
        <v>0</v>
      </c>
      <c r="DD272">
        <v>0</v>
      </c>
      <c r="DE272">
        <v>0</v>
      </c>
      <c r="DF272">
        <v>0</v>
      </c>
      <c r="DG272">
        <v>0</v>
      </c>
      <c r="DH272">
        <v>0</v>
      </c>
      <c r="DI272">
        <v>0</v>
      </c>
    </row>
    <row r="273" spans="1:113" x14ac:dyDescent="0.3">
      <c r="A273" t="str">
        <f>"09/28/2021 13:52:46.743"</f>
        <v>09/28/2021 13:52:46.743</v>
      </c>
      <c r="C273" t="str">
        <f t="shared" si="14"/>
        <v>FFDFD3C0</v>
      </c>
      <c r="D273" t="s">
        <v>113</v>
      </c>
      <c r="E273">
        <v>7</v>
      </c>
      <c r="H273">
        <v>170</v>
      </c>
      <c r="I273" t="s">
        <v>114</v>
      </c>
      <c r="J273" t="s">
        <v>115</v>
      </c>
      <c r="K273">
        <v>0</v>
      </c>
      <c r="L273">
        <v>3</v>
      </c>
      <c r="M273">
        <v>0</v>
      </c>
      <c r="N273">
        <v>2</v>
      </c>
      <c r="O273">
        <v>1</v>
      </c>
      <c r="P273">
        <v>0</v>
      </c>
      <c r="Q273">
        <v>0</v>
      </c>
      <c r="S273" t="str">
        <f>"13:52:46.477"</f>
        <v>13:52:46.477</v>
      </c>
      <c r="T273" t="str">
        <f>"13:52:46.077"</f>
        <v>13:52:46.077</v>
      </c>
      <c r="U273" t="str">
        <f t="shared" si="16"/>
        <v>A92BC1</v>
      </c>
      <c r="V273">
        <v>0</v>
      </c>
      <c r="W273">
        <v>0</v>
      </c>
      <c r="X273">
        <v>2</v>
      </c>
      <c r="Z273">
        <v>0</v>
      </c>
      <c r="AA273">
        <v>9</v>
      </c>
      <c r="AB273">
        <v>3</v>
      </c>
      <c r="AC273">
        <v>0</v>
      </c>
      <c r="AD273">
        <v>10</v>
      </c>
      <c r="AE273">
        <v>0</v>
      </c>
      <c r="AF273">
        <v>3</v>
      </c>
      <c r="AG273">
        <v>2</v>
      </c>
      <c r="AH273">
        <v>0</v>
      </c>
      <c r="AI273" t="s">
        <v>374</v>
      </c>
      <c r="AJ273">
        <v>45.691946000000002</v>
      </c>
      <c r="AK273" t="s">
        <v>375</v>
      </c>
      <c r="AL273">
        <v>-89.447249999999997</v>
      </c>
      <c r="AM273">
        <v>100</v>
      </c>
      <c r="AN273">
        <v>6500</v>
      </c>
      <c r="AO273" t="s">
        <v>118</v>
      </c>
      <c r="AP273">
        <v>121</v>
      </c>
      <c r="AQ273">
        <v>97</v>
      </c>
      <c r="AR273">
        <v>2240</v>
      </c>
      <c r="AZ273">
        <v>1200</v>
      </c>
      <c r="BA273">
        <v>1</v>
      </c>
      <c r="BB273" t="str">
        <f t="shared" si="15"/>
        <v xml:space="preserve">N690LS  </v>
      </c>
      <c r="BC273">
        <v>1</v>
      </c>
      <c r="BE273">
        <v>0</v>
      </c>
      <c r="BF273">
        <v>0</v>
      </c>
      <c r="BG273">
        <v>0</v>
      </c>
      <c r="BH273">
        <v>6625</v>
      </c>
      <c r="BI273">
        <v>1</v>
      </c>
      <c r="BJ273">
        <v>1</v>
      </c>
      <c r="BK273">
        <v>1</v>
      </c>
      <c r="BL273">
        <v>0</v>
      </c>
      <c r="BO273">
        <v>0</v>
      </c>
      <c r="BP273">
        <v>0</v>
      </c>
      <c r="BW273" t="str">
        <f>"13:52:46.481"</f>
        <v>13:52:46.481</v>
      </c>
      <c r="CJ273">
        <v>0</v>
      </c>
      <c r="CK273">
        <v>2</v>
      </c>
      <c r="CL273">
        <v>0</v>
      </c>
      <c r="CM273">
        <v>2</v>
      </c>
      <c r="CN273">
        <v>0</v>
      </c>
      <c r="CO273">
        <v>6</v>
      </c>
      <c r="CP273" t="s">
        <v>119</v>
      </c>
      <c r="CQ273">
        <v>209</v>
      </c>
      <c r="CR273">
        <v>3</v>
      </c>
      <c r="CW273">
        <v>7154118</v>
      </c>
      <c r="CY273">
        <v>1</v>
      </c>
      <c r="CZ273">
        <v>0</v>
      </c>
      <c r="DA273">
        <v>0</v>
      </c>
      <c r="DB273">
        <v>0</v>
      </c>
      <c r="DC273">
        <v>0</v>
      </c>
      <c r="DD273">
        <v>0</v>
      </c>
      <c r="DE273">
        <v>0</v>
      </c>
      <c r="DF273">
        <v>0</v>
      </c>
      <c r="DG273">
        <v>0</v>
      </c>
      <c r="DH273">
        <v>0</v>
      </c>
      <c r="DI273">
        <v>0</v>
      </c>
    </row>
    <row r="274" spans="1:113" x14ac:dyDescent="0.3">
      <c r="A274" t="str">
        <f>"09/28/2021 13:52:46.759"</f>
        <v>09/28/2021 13:52:46.759</v>
      </c>
      <c r="C274" t="str">
        <f t="shared" si="14"/>
        <v>FFDFD3C0</v>
      </c>
      <c r="D274" t="s">
        <v>120</v>
      </c>
      <c r="E274">
        <v>12</v>
      </c>
      <c r="F274">
        <v>1012</v>
      </c>
      <c r="G274" t="s">
        <v>114</v>
      </c>
      <c r="J274" t="s">
        <v>121</v>
      </c>
      <c r="K274">
        <v>0</v>
      </c>
      <c r="L274">
        <v>3</v>
      </c>
      <c r="M274">
        <v>0</v>
      </c>
      <c r="N274">
        <v>2</v>
      </c>
      <c r="O274">
        <v>1</v>
      </c>
      <c r="P274">
        <v>0</v>
      </c>
      <c r="Q274">
        <v>0</v>
      </c>
      <c r="S274" t="str">
        <f>"13:52:46.477"</f>
        <v>13:52:46.477</v>
      </c>
      <c r="T274" t="str">
        <f>"13:52:46.077"</f>
        <v>13:52:46.077</v>
      </c>
      <c r="U274" t="str">
        <f t="shared" si="16"/>
        <v>A92BC1</v>
      </c>
      <c r="V274">
        <v>0</v>
      </c>
      <c r="W274">
        <v>0</v>
      </c>
      <c r="X274">
        <v>2</v>
      </c>
      <c r="Z274">
        <v>0</v>
      </c>
      <c r="AA274">
        <v>9</v>
      </c>
      <c r="AB274">
        <v>3</v>
      </c>
      <c r="AC274">
        <v>0</v>
      </c>
      <c r="AD274">
        <v>10</v>
      </c>
      <c r="AE274">
        <v>0</v>
      </c>
      <c r="AF274">
        <v>3</v>
      </c>
      <c r="AG274">
        <v>2</v>
      </c>
      <c r="AH274">
        <v>0</v>
      </c>
      <c r="AI274" t="s">
        <v>374</v>
      </c>
      <c r="AJ274">
        <v>45.691946000000002</v>
      </c>
      <c r="AK274" t="s">
        <v>375</v>
      </c>
      <c r="AL274">
        <v>-89.447249999999997</v>
      </c>
      <c r="AM274">
        <v>100</v>
      </c>
      <c r="AN274">
        <v>6500</v>
      </c>
      <c r="AO274" t="s">
        <v>118</v>
      </c>
      <c r="AP274">
        <v>121</v>
      </c>
      <c r="AQ274">
        <v>97</v>
      </c>
      <c r="AR274">
        <v>2240</v>
      </c>
      <c r="AZ274">
        <v>1200</v>
      </c>
      <c r="BA274">
        <v>1</v>
      </c>
      <c r="BB274" t="str">
        <f t="shared" si="15"/>
        <v xml:space="preserve">N690LS  </v>
      </c>
      <c r="BC274">
        <v>1</v>
      </c>
      <c r="BE274">
        <v>0</v>
      </c>
      <c r="BF274">
        <v>0</v>
      </c>
      <c r="BG274">
        <v>0</v>
      </c>
      <c r="BH274">
        <v>6625</v>
      </c>
      <c r="BI274">
        <v>1</v>
      </c>
      <c r="BJ274">
        <v>1</v>
      </c>
      <c r="BK274">
        <v>1</v>
      </c>
      <c r="BL274">
        <v>0</v>
      </c>
      <c r="BO274">
        <v>0</v>
      </c>
      <c r="BP274">
        <v>0</v>
      </c>
      <c r="BW274" t="str">
        <f>"13:52:46.481"</f>
        <v>13:52:46.481</v>
      </c>
      <c r="CJ274">
        <v>0</v>
      </c>
      <c r="CK274">
        <v>2</v>
      </c>
      <c r="CL274">
        <v>0</v>
      </c>
      <c r="CM274">
        <v>2</v>
      </c>
      <c r="CN274">
        <v>0</v>
      </c>
      <c r="CO274">
        <v>6</v>
      </c>
      <c r="CP274" t="s">
        <v>119</v>
      </c>
      <c r="CQ274">
        <v>209</v>
      </c>
      <c r="CR274">
        <v>3</v>
      </c>
      <c r="CW274">
        <v>7154118</v>
      </c>
      <c r="CY274">
        <v>1</v>
      </c>
      <c r="CZ274">
        <v>0</v>
      </c>
      <c r="DA274">
        <v>1</v>
      </c>
      <c r="DB274">
        <v>0</v>
      </c>
      <c r="DC274">
        <v>0</v>
      </c>
      <c r="DD274">
        <v>0</v>
      </c>
      <c r="DE274">
        <v>0</v>
      </c>
      <c r="DF274">
        <v>0</v>
      </c>
      <c r="DG274">
        <v>0</v>
      </c>
      <c r="DH274">
        <v>0</v>
      </c>
      <c r="DI274">
        <v>0</v>
      </c>
    </row>
    <row r="275" spans="1:113" x14ac:dyDescent="0.3">
      <c r="A275" t="str">
        <f>"09/28/2021 13:52:47.618"</f>
        <v>09/28/2021 13:52:47.618</v>
      </c>
      <c r="C275" t="str">
        <f t="shared" si="14"/>
        <v>FFDFD3C0</v>
      </c>
      <c r="D275" t="s">
        <v>113</v>
      </c>
      <c r="E275">
        <v>7</v>
      </c>
      <c r="H275">
        <v>170</v>
      </c>
      <c r="I275" t="s">
        <v>114</v>
      </c>
      <c r="J275" t="s">
        <v>115</v>
      </c>
      <c r="K275">
        <v>0</v>
      </c>
      <c r="L275">
        <v>3</v>
      </c>
      <c r="M275">
        <v>0</v>
      </c>
      <c r="N275">
        <v>2</v>
      </c>
      <c r="O275">
        <v>1</v>
      </c>
      <c r="P275">
        <v>0</v>
      </c>
      <c r="Q275">
        <v>0</v>
      </c>
      <c r="S275" t="str">
        <f>"13:52:47.414"</f>
        <v>13:52:47.414</v>
      </c>
      <c r="T275" t="str">
        <f>"13:52:47.014"</f>
        <v>13:52:47.014</v>
      </c>
      <c r="U275" t="str">
        <f t="shared" si="16"/>
        <v>A92BC1</v>
      </c>
      <c r="V275">
        <v>0</v>
      </c>
      <c r="W275">
        <v>0</v>
      </c>
      <c r="X275">
        <v>2</v>
      </c>
      <c r="Z275">
        <v>0</v>
      </c>
      <c r="AA275">
        <v>9</v>
      </c>
      <c r="AB275">
        <v>3</v>
      </c>
      <c r="AC275">
        <v>0</v>
      </c>
      <c r="AD275">
        <v>10</v>
      </c>
      <c r="AE275">
        <v>0</v>
      </c>
      <c r="AF275">
        <v>3</v>
      </c>
      <c r="AG275">
        <v>2</v>
      </c>
      <c r="AH275">
        <v>0</v>
      </c>
      <c r="AI275" t="s">
        <v>376</v>
      </c>
      <c r="AJ275">
        <v>45.692374999999998</v>
      </c>
      <c r="AK275" t="s">
        <v>377</v>
      </c>
      <c r="AL275">
        <v>-89.446521000000004</v>
      </c>
      <c r="AM275">
        <v>100</v>
      </c>
      <c r="AN275">
        <v>6500</v>
      </c>
      <c r="AO275" t="s">
        <v>118</v>
      </c>
      <c r="AP275">
        <v>121</v>
      </c>
      <c r="AQ275">
        <v>97</v>
      </c>
      <c r="AR275">
        <v>2240</v>
      </c>
      <c r="AZ275">
        <v>1200</v>
      </c>
      <c r="BA275">
        <v>1</v>
      </c>
      <c r="BB275" t="str">
        <f t="shared" si="15"/>
        <v xml:space="preserve">N690LS  </v>
      </c>
      <c r="BC275">
        <v>1</v>
      </c>
      <c r="BE275">
        <v>0</v>
      </c>
      <c r="BF275">
        <v>0</v>
      </c>
      <c r="BG275">
        <v>0</v>
      </c>
      <c r="BH275">
        <v>6650</v>
      </c>
      <c r="BI275">
        <v>1</v>
      </c>
      <c r="BJ275">
        <v>1</v>
      </c>
      <c r="BK275">
        <v>1</v>
      </c>
      <c r="BL275">
        <v>0</v>
      </c>
      <c r="BO275">
        <v>0</v>
      </c>
      <c r="BP275">
        <v>0</v>
      </c>
      <c r="BW275" t="str">
        <f>"13:52:47.415"</f>
        <v>13:52:47.415</v>
      </c>
      <c r="CJ275">
        <v>0</v>
      </c>
      <c r="CK275">
        <v>2</v>
      </c>
      <c r="CL275">
        <v>0</v>
      </c>
      <c r="CM275">
        <v>2</v>
      </c>
      <c r="CN275">
        <v>0</v>
      </c>
      <c r="CO275">
        <v>5</v>
      </c>
      <c r="CP275" t="s">
        <v>119</v>
      </c>
      <c r="CQ275">
        <v>209</v>
      </c>
      <c r="CR275">
        <v>2</v>
      </c>
      <c r="CW275">
        <v>11622761</v>
      </c>
      <c r="CY275">
        <v>1</v>
      </c>
      <c r="CZ275">
        <v>0</v>
      </c>
      <c r="DA275">
        <v>0</v>
      </c>
      <c r="DB275">
        <v>0</v>
      </c>
      <c r="DC275">
        <v>0</v>
      </c>
      <c r="DD275">
        <v>0</v>
      </c>
      <c r="DE275">
        <v>0</v>
      </c>
      <c r="DF275">
        <v>0</v>
      </c>
      <c r="DG275">
        <v>0</v>
      </c>
      <c r="DH275">
        <v>0</v>
      </c>
      <c r="DI275">
        <v>0</v>
      </c>
    </row>
    <row r="276" spans="1:113" x14ac:dyDescent="0.3">
      <c r="A276" t="str">
        <f>"09/28/2021 13:52:47.634"</f>
        <v>09/28/2021 13:52:47.634</v>
      </c>
      <c r="C276" t="str">
        <f t="shared" si="14"/>
        <v>FFDFD3C0</v>
      </c>
      <c r="D276" t="s">
        <v>120</v>
      </c>
      <c r="E276">
        <v>12</v>
      </c>
      <c r="F276">
        <v>1012</v>
      </c>
      <c r="G276" t="s">
        <v>114</v>
      </c>
      <c r="J276" t="s">
        <v>121</v>
      </c>
      <c r="K276">
        <v>0</v>
      </c>
      <c r="L276">
        <v>3</v>
      </c>
      <c r="M276">
        <v>0</v>
      </c>
      <c r="N276">
        <v>2</v>
      </c>
      <c r="O276">
        <v>1</v>
      </c>
      <c r="P276">
        <v>0</v>
      </c>
      <c r="Q276">
        <v>0</v>
      </c>
      <c r="S276" t="str">
        <f>"13:52:47.414"</f>
        <v>13:52:47.414</v>
      </c>
      <c r="T276" t="str">
        <f>"13:52:47.014"</f>
        <v>13:52:47.014</v>
      </c>
      <c r="U276" t="str">
        <f t="shared" si="16"/>
        <v>A92BC1</v>
      </c>
      <c r="V276">
        <v>0</v>
      </c>
      <c r="W276">
        <v>0</v>
      </c>
      <c r="X276">
        <v>2</v>
      </c>
      <c r="Z276">
        <v>0</v>
      </c>
      <c r="AA276">
        <v>9</v>
      </c>
      <c r="AB276">
        <v>3</v>
      </c>
      <c r="AC276">
        <v>0</v>
      </c>
      <c r="AD276">
        <v>10</v>
      </c>
      <c r="AE276">
        <v>0</v>
      </c>
      <c r="AF276">
        <v>3</v>
      </c>
      <c r="AG276">
        <v>2</v>
      </c>
      <c r="AH276">
        <v>0</v>
      </c>
      <c r="AI276" t="s">
        <v>376</v>
      </c>
      <c r="AJ276">
        <v>45.692374999999998</v>
      </c>
      <c r="AK276" t="s">
        <v>377</v>
      </c>
      <c r="AL276">
        <v>-89.446521000000004</v>
      </c>
      <c r="AM276">
        <v>100</v>
      </c>
      <c r="AN276">
        <v>6500</v>
      </c>
      <c r="AO276" t="s">
        <v>118</v>
      </c>
      <c r="AP276">
        <v>121</v>
      </c>
      <c r="AQ276">
        <v>97</v>
      </c>
      <c r="AR276">
        <v>2240</v>
      </c>
      <c r="AZ276">
        <v>1200</v>
      </c>
      <c r="BA276">
        <v>1</v>
      </c>
      <c r="BB276" t="str">
        <f t="shared" si="15"/>
        <v xml:space="preserve">N690LS  </v>
      </c>
      <c r="BC276">
        <v>1</v>
      </c>
      <c r="BE276">
        <v>0</v>
      </c>
      <c r="BF276">
        <v>0</v>
      </c>
      <c r="BG276">
        <v>0</v>
      </c>
      <c r="BH276">
        <v>6650</v>
      </c>
      <c r="BI276">
        <v>1</v>
      </c>
      <c r="BJ276">
        <v>1</v>
      </c>
      <c r="BK276">
        <v>1</v>
      </c>
      <c r="BL276">
        <v>0</v>
      </c>
      <c r="BO276">
        <v>0</v>
      </c>
      <c r="BP276">
        <v>0</v>
      </c>
      <c r="BW276" t="str">
        <f>"13:52:47.415"</f>
        <v>13:52:47.415</v>
      </c>
      <c r="CJ276">
        <v>0</v>
      </c>
      <c r="CK276">
        <v>2</v>
      </c>
      <c r="CL276">
        <v>0</v>
      </c>
      <c r="CM276">
        <v>2</v>
      </c>
      <c r="CN276">
        <v>0</v>
      </c>
      <c r="CO276">
        <v>5</v>
      </c>
      <c r="CP276" t="s">
        <v>119</v>
      </c>
      <c r="CQ276">
        <v>464</v>
      </c>
      <c r="CR276">
        <v>3</v>
      </c>
      <c r="CW276">
        <v>5378934</v>
      </c>
      <c r="CY276">
        <v>1</v>
      </c>
      <c r="CZ276">
        <v>0</v>
      </c>
      <c r="DA276">
        <v>1</v>
      </c>
      <c r="DB276">
        <v>0</v>
      </c>
      <c r="DC276">
        <v>0</v>
      </c>
      <c r="DD276">
        <v>0</v>
      </c>
      <c r="DE276">
        <v>0</v>
      </c>
      <c r="DF276">
        <v>0</v>
      </c>
      <c r="DG276">
        <v>0</v>
      </c>
      <c r="DH276">
        <v>0</v>
      </c>
      <c r="DI276">
        <v>0</v>
      </c>
    </row>
    <row r="277" spans="1:113" x14ac:dyDescent="0.3">
      <c r="A277" t="str">
        <f>"09/28/2021 13:52:48.665"</f>
        <v>09/28/2021 13:52:48.665</v>
      </c>
      <c r="C277" t="str">
        <f t="shared" si="14"/>
        <v>FFDFD3C0</v>
      </c>
      <c r="D277" t="s">
        <v>120</v>
      </c>
      <c r="E277">
        <v>12</v>
      </c>
      <c r="F277">
        <v>1012</v>
      </c>
      <c r="G277" t="s">
        <v>114</v>
      </c>
      <c r="J277" t="s">
        <v>121</v>
      </c>
      <c r="K277">
        <v>0</v>
      </c>
      <c r="L277">
        <v>3</v>
      </c>
      <c r="M277">
        <v>0</v>
      </c>
      <c r="N277">
        <v>2</v>
      </c>
      <c r="O277">
        <v>1</v>
      </c>
      <c r="P277">
        <v>0</v>
      </c>
      <c r="Q277">
        <v>0</v>
      </c>
      <c r="S277" t="str">
        <f>"13:52:48.445"</f>
        <v>13:52:48.445</v>
      </c>
      <c r="T277" t="str">
        <f>"13:52:47.945"</f>
        <v>13:52:47.945</v>
      </c>
      <c r="U277" t="str">
        <f t="shared" si="16"/>
        <v>A92BC1</v>
      </c>
      <c r="V277">
        <v>0</v>
      </c>
      <c r="W277">
        <v>0</v>
      </c>
      <c r="X277">
        <v>2</v>
      </c>
      <c r="Z277">
        <v>0</v>
      </c>
      <c r="AA277">
        <v>9</v>
      </c>
      <c r="AB277">
        <v>3</v>
      </c>
      <c r="AC277">
        <v>0</v>
      </c>
      <c r="AD277">
        <v>10</v>
      </c>
      <c r="AE277">
        <v>0</v>
      </c>
      <c r="AF277">
        <v>3</v>
      </c>
      <c r="AG277">
        <v>2</v>
      </c>
      <c r="AH277">
        <v>0</v>
      </c>
      <c r="AI277" t="s">
        <v>378</v>
      </c>
      <c r="AJ277">
        <v>45.692889999999998</v>
      </c>
      <c r="AK277" t="s">
        <v>379</v>
      </c>
      <c r="AL277">
        <v>-89.445661999999999</v>
      </c>
      <c r="AM277">
        <v>100</v>
      </c>
      <c r="AN277">
        <v>6600</v>
      </c>
      <c r="AO277" t="s">
        <v>118</v>
      </c>
      <c r="AP277">
        <v>121</v>
      </c>
      <c r="AQ277">
        <v>97</v>
      </c>
      <c r="AR277">
        <v>2240</v>
      </c>
      <c r="AZ277">
        <v>1200</v>
      </c>
      <c r="BA277">
        <v>1</v>
      </c>
      <c r="BB277" t="str">
        <f t="shared" si="15"/>
        <v xml:space="preserve">N690LS  </v>
      </c>
      <c r="BC277">
        <v>1</v>
      </c>
      <c r="BE277">
        <v>0</v>
      </c>
      <c r="BF277">
        <v>0</v>
      </c>
      <c r="BG277">
        <v>0</v>
      </c>
      <c r="BH277">
        <v>6675</v>
      </c>
      <c r="BI277">
        <v>1</v>
      </c>
      <c r="BJ277">
        <v>1</v>
      </c>
      <c r="BK277">
        <v>1</v>
      </c>
      <c r="BL277">
        <v>0</v>
      </c>
      <c r="BO277">
        <v>0</v>
      </c>
      <c r="BP277">
        <v>0</v>
      </c>
      <c r="BW277" t="str">
        <f>"13:52:48.446"</f>
        <v>13:52:48.446</v>
      </c>
      <c r="CJ277">
        <v>0</v>
      </c>
      <c r="CK277">
        <v>2</v>
      </c>
      <c r="CL277">
        <v>0</v>
      </c>
      <c r="CM277">
        <v>2</v>
      </c>
      <c r="CN277">
        <v>0</v>
      </c>
      <c r="CO277">
        <v>6</v>
      </c>
      <c r="CP277" t="s">
        <v>119</v>
      </c>
      <c r="CQ277">
        <v>464</v>
      </c>
      <c r="CR277">
        <v>3</v>
      </c>
      <c r="CW277">
        <v>5379778</v>
      </c>
      <c r="CY277">
        <v>1</v>
      </c>
      <c r="CZ277">
        <v>0</v>
      </c>
      <c r="DA277">
        <v>0</v>
      </c>
      <c r="DB277">
        <v>0</v>
      </c>
      <c r="DC277">
        <v>0</v>
      </c>
      <c r="DD277">
        <v>0</v>
      </c>
      <c r="DE277">
        <v>0</v>
      </c>
      <c r="DF277">
        <v>0</v>
      </c>
      <c r="DG277">
        <v>0</v>
      </c>
      <c r="DH277">
        <v>0</v>
      </c>
      <c r="DI277">
        <v>0</v>
      </c>
    </row>
    <row r="278" spans="1:113" x14ac:dyDescent="0.3">
      <c r="A278" t="str">
        <f>"09/28/2021 13:52:48.665"</f>
        <v>09/28/2021 13:52:48.665</v>
      </c>
      <c r="C278" t="str">
        <f t="shared" si="14"/>
        <v>FFDFD3C0</v>
      </c>
      <c r="D278" t="s">
        <v>113</v>
      </c>
      <c r="E278">
        <v>7</v>
      </c>
      <c r="H278">
        <v>170</v>
      </c>
      <c r="I278" t="s">
        <v>114</v>
      </c>
      <c r="J278" t="s">
        <v>115</v>
      </c>
      <c r="K278">
        <v>0</v>
      </c>
      <c r="L278">
        <v>3</v>
      </c>
      <c r="M278">
        <v>0</v>
      </c>
      <c r="N278">
        <v>2</v>
      </c>
      <c r="O278">
        <v>1</v>
      </c>
      <c r="P278">
        <v>0</v>
      </c>
      <c r="Q278">
        <v>0</v>
      </c>
      <c r="S278" t="str">
        <f>"13:52:48.445"</f>
        <v>13:52:48.445</v>
      </c>
      <c r="T278" t="str">
        <f>"13:52:47.945"</f>
        <v>13:52:47.945</v>
      </c>
      <c r="U278" t="str">
        <f t="shared" si="16"/>
        <v>A92BC1</v>
      </c>
      <c r="V278">
        <v>0</v>
      </c>
      <c r="W278">
        <v>0</v>
      </c>
      <c r="X278">
        <v>2</v>
      </c>
      <c r="Z278">
        <v>0</v>
      </c>
      <c r="AA278">
        <v>9</v>
      </c>
      <c r="AB278">
        <v>3</v>
      </c>
      <c r="AC278">
        <v>0</v>
      </c>
      <c r="AD278">
        <v>10</v>
      </c>
      <c r="AE278">
        <v>0</v>
      </c>
      <c r="AF278">
        <v>3</v>
      </c>
      <c r="AG278">
        <v>2</v>
      </c>
      <c r="AH278">
        <v>0</v>
      </c>
      <c r="AI278" t="s">
        <v>378</v>
      </c>
      <c r="AJ278">
        <v>45.692889999999998</v>
      </c>
      <c r="AK278" t="s">
        <v>379</v>
      </c>
      <c r="AL278">
        <v>-89.445661999999999</v>
      </c>
      <c r="AM278">
        <v>100</v>
      </c>
      <c r="AN278">
        <v>6600</v>
      </c>
      <c r="AO278" t="s">
        <v>118</v>
      </c>
      <c r="AP278">
        <v>121</v>
      </c>
      <c r="AQ278">
        <v>97</v>
      </c>
      <c r="AR278">
        <v>2240</v>
      </c>
      <c r="AZ278">
        <v>1200</v>
      </c>
      <c r="BA278">
        <v>1</v>
      </c>
      <c r="BB278" t="str">
        <f t="shared" si="15"/>
        <v xml:space="preserve">N690LS  </v>
      </c>
      <c r="BC278">
        <v>1</v>
      </c>
      <c r="BE278">
        <v>0</v>
      </c>
      <c r="BF278">
        <v>0</v>
      </c>
      <c r="BG278">
        <v>0</v>
      </c>
      <c r="BH278">
        <v>6675</v>
      </c>
      <c r="BI278">
        <v>1</v>
      </c>
      <c r="BJ278">
        <v>1</v>
      </c>
      <c r="BK278">
        <v>1</v>
      </c>
      <c r="BL278">
        <v>0</v>
      </c>
      <c r="BO278">
        <v>0</v>
      </c>
      <c r="BP278">
        <v>0</v>
      </c>
      <c r="BW278" t="str">
        <f>"13:52:48.445"</f>
        <v>13:52:48.445</v>
      </c>
      <c r="CJ278">
        <v>0</v>
      </c>
      <c r="CK278">
        <v>2</v>
      </c>
      <c r="CL278">
        <v>0</v>
      </c>
      <c r="CM278">
        <v>2</v>
      </c>
      <c r="CN278">
        <v>0</v>
      </c>
      <c r="CO278">
        <v>5</v>
      </c>
      <c r="CP278" t="s">
        <v>119</v>
      </c>
      <c r="CQ278">
        <v>209</v>
      </c>
      <c r="CR278">
        <v>2</v>
      </c>
      <c r="CW278">
        <v>11623437</v>
      </c>
      <c r="CY278">
        <v>1</v>
      </c>
      <c r="CZ278">
        <v>0</v>
      </c>
      <c r="DA278">
        <v>1</v>
      </c>
      <c r="DB278">
        <v>0</v>
      </c>
      <c r="DC278">
        <v>0</v>
      </c>
      <c r="DD278">
        <v>0</v>
      </c>
      <c r="DE278">
        <v>0</v>
      </c>
      <c r="DF278">
        <v>0</v>
      </c>
      <c r="DG278">
        <v>0</v>
      </c>
      <c r="DH278">
        <v>0</v>
      </c>
      <c r="DI278">
        <v>0</v>
      </c>
    </row>
    <row r="279" spans="1:113" x14ac:dyDescent="0.3">
      <c r="A279" t="str">
        <f>"09/28/2021 13:52:49.681"</f>
        <v>09/28/2021 13:52:49.681</v>
      </c>
      <c r="C279" t="str">
        <f t="shared" si="14"/>
        <v>FFDFD3C0</v>
      </c>
      <c r="D279" t="s">
        <v>113</v>
      </c>
      <c r="E279">
        <v>7</v>
      </c>
      <c r="H279">
        <v>170</v>
      </c>
      <c r="I279" t="s">
        <v>114</v>
      </c>
      <c r="J279" t="s">
        <v>115</v>
      </c>
      <c r="K279">
        <v>0</v>
      </c>
      <c r="L279">
        <v>3</v>
      </c>
      <c r="M279">
        <v>0</v>
      </c>
      <c r="N279">
        <v>2</v>
      </c>
      <c r="O279">
        <v>1</v>
      </c>
      <c r="P279">
        <v>0</v>
      </c>
      <c r="Q279">
        <v>0</v>
      </c>
      <c r="S279" t="str">
        <f>"13:52:49.492"</f>
        <v>13:52:49.492</v>
      </c>
      <c r="T279" t="str">
        <f>"13:52:48.992"</f>
        <v>13:52:48.992</v>
      </c>
      <c r="U279" t="str">
        <f t="shared" si="16"/>
        <v>A92BC1</v>
      </c>
      <c r="V279">
        <v>0</v>
      </c>
      <c r="W279">
        <v>0</v>
      </c>
      <c r="X279">
        <v>2</v>
      </c>
      <c r="Z279">
        <v>0</v>
      </c>
      <c r="AA279">
        <v>9</v>
      </c>
      <c r="AB279">
        <v>3</v>
      </c>
      <c r="AC279">
        <v>0</v>
      </c>
      <c r="AD279">
        <v>10</v>
      </c>
      <c r="AE279">
        <v>0</v>
      </c>
      <c r="AF279">
        <v>3</v>
      </c>
      <c r="AG279">
        <v>2</v>
      </c>
      <c r="AH279">
        <v>0</v>
      </c>
      <c r="AI279" t="s">
        <v>380</v>
      </c>
      <c r="AJ279">
        <v>45.693297000000001</v>
      </c>
      <c r="AK279" t="s">
        <v>381</v>
      </c>
      <c r="AL279">
        <v>-89.444846999999996</v>
      </c>
      <c r="AM279">
        <v>100</v>
      </c>
      <c r="AN279">
        <v>6600</v>
      </c>
      <c r="AO279" t="s">
        <v>118</v>
      </c>
      <c r="AP279">
        <v>121</v>
      </c>
      <c r="AQ279">
        <v>97</v>
      </c>
      <c r="AR279">
        <v>2240</v>
      </c>
      <c r="AZ279">
        <v>1200</v>
      </c>
      <c r="BA279">
        <v>1</v>
      </c>
      <c r="BB279" t="str">
        <f t="shared" si="15"/>
        <v xml:space="preserve">N690LS  </v>
      </c>
      <c r="BC279">
        <v>1</v>
      </c>
      <c r="BE279">
        <v>0</v>
      </c>
      <c r="BF279">
        <v>0</v>
      </c>
      <c r="BG279">
        <v>0</v>
      </c>
      <c r="BH279">
        <v>6725</v>
      </c>
      <c r="BI279">
        <v>1</v>
      </c>
      <c r="BJ279">
        <v>1</v>
      </c>
      <c r="BK279">
        <v>1</v>
      </c>
      <c r="BL279">
        <v>0</v>
      </c>
      <c r="BO279">
        <v>0</v>
      </c>
      <c r="BP279">
        <v>0</v>
      </c>
      <c r="BW279" t="str">
        <f>"13:52:49.496"</f>
        <v>13:52:49.496</v>
      </c>
      <c r="CJ279">
        <v>0</v>
      </c>
      <c r="CK279">
        <v>2</v>
      </c>
      <c r="CL279">
        <v>0</v>
      </c>
      <c r="CM279">
        <v>2</v>
      </c>
      <c r="CN279">
        <v>0</v>
      </c>
      <c r="CO279">
        <v>5</v>
      </c>
      <c r="CP279" t="s">
        <v>119</v>
      </c>
      <c r="CQ279">
        <v>210</v>
      </c>
      <c r="CR279">
        <v>2</v>
      </c>
      <c r="CW279">
        <v>2167808</v>
      </c>
      <c r="CY279">
        <v>1</v>
      </c>
      <c r="CZ279">
        <v>0</v>
      </c>
      <c r="DA279">
        <v>0</v>
      </c>
      <c r="DB279">
        <v>0</v>
      </c>
      <c r="DC279">
        <v>0</v>
      </c>
      <c r="DD279">
        <v>0</v>
      </c>
      <c r="DE279">
        <v>0</v>
      </c>
      <c r="DF279">
        <v>0</v>
      </c>
      <c r="DG279">
        <v>0</v>
      </c>
      <c r="DH279">
        <v>0</v>
      </c>
      <c r="DI279">
        <v>0</v>
      </c>
    </row>
    <row r="280" spans="1:113" x14ac:dyDescent="0.3">
      <c r="A280" t="str">
        <f>"09/28/2021 13:52:49.696"</f>
        <v>09/28/2021 13:52:49.696</v>
      </c>
      <c r="C280" t="str">
        <f t="shared" si="14"/>
        <v>FFDFD3C0</v>
      </c>
      <c r="D280" t="s">
        <v>120</v>
      </c>
      <c r="E280">
        <v>12</v>
      </c>
      <c r="F280">
        <v>1012</v>
      </c>
      <c r="G280" t="s">
        <v>114</v>
      </c>
      <c r="J280" t="s">
        <v>121</v>
      </c>
      <c r="K280">
        <v>0</v>
      </c>
      <c r="L280">
        <v>3</v>
      </c>
      <c r="M280">
        <v>0</v>
      </c>
      <c r="N280">
        <v>2</v>
      </c>
      <c r="O280">
        <v>1</v>
      </c>
      <c r="P280">
        <v>0</v>
      </c>
      <c r="Q280">
        <v>0</v>
      </c>
      <c r="S280" t="str">
        <f>"13:52:49.492"</f>
        <v>13:52:49.492</v>
      </c>
      <c r="T280" t="str">
        <f>"13:52:48.992"</f>
        <v>13:52:48.992</v>
      </c>
      <c r="U280" t="str">
        <f t="shared" si="16"/>
        <v>A92BC1</v>
      </c>
      <c r="V280">
        <v>0</v>
      </c>
      <c r="W280">
        <v>0</v>
      </c>
      <c r="X280">
        <v>2</v>
      </c>
      <c r="Z280">
        <v>0</v>
      </c>
      <c r="AA280">
        <v>9</v>
      </c>
      <c r="AB280">
        <v>3</v>
      </c>
      <c r="AC280">
        <v>0</v>
      </c>
      <c r="AD280">
        <v>10</v>
      </c>
      <c r="AE280">
        <v>0</v>
      </c>
      <c r="AF280">
        <v>3</v>
      </c>
      <c r="AG280">
        <v>2</v>
      </c>
      <c r="AH280">
        <v>0</v>
      </c>
      <c r="AI280" t="s">
        <v>380</v>
      </c>
      <c r="AJ280">
        <v>45.693297000000001</v>
      </c>
      <c r="AK280" t="s">
        <v>381</v>
      </c>
      <c r="AL280">
        <v>-89.444846999999996</v>
      </c>
      <c r="AM280">
        <v>100</v>
      </c>
      <c r="AN280">
        <v>6600</v>
      </c>
      <c r="AO280" t="s">
        <v>118</v>
      </c>
      <c r="AP280">
        <v>121</v>
      </c>
      <c r="AQ280">
        <v>97</v>
      </c>
      <c r="AR280">
        <v>2240</v>
      </c>
      <c r="AZ280">
        <v>1200</v>
      </c>
      <c r="BA280">
        <v>1</v>
      </c>
      <c r="BB280" t="str">
        <f t="shared" si="15"/>
        <v xml:space="preserve">N690LS  </v>
      </c>
      <c r="BC280">
        <v>1</v>
      </c>
      <c r="BE280">
        <v>0</v>
      </c>
      <c r="BF280">
        <v>0</v>
      </c>
      <c r="BG280">
        <v>0</v>
      </c>
      <c r="BH280">
        <v>6725</v>
      </c>
      <c r="BI280">
        <v>1</v>
      </c>
      <c r="BJ280">
        <v>1</v>
      </c>
      <c r="BK280">
        <v>1</v>
      </c>
      <c r="BL280">
        <v>0</v>
      </c>
      <c r="BO280">
        <v>0</v>
      </c>
      <c r="BP280">
        <v>0</v>
      </c>
      <c r="BW280" t="str">
        <f>"13:52:49.496"</f>
        <v>13:52:49.496</v>
      </c>
      <c r="CJ280">
        <v>0</v>
      </c>
      <c r="CK280">
        <v>2</v>
      </c>
      <c r="CL280">
        <v>0</v>
      </c>
      <c r="CM280">
        <v>2</v>
      </c>
      <c r="CN280">
        <v>0</v>
      </c>
      <c r="CO280">
        <v>5</v>
      </c>
      <c r="CP280" t="s">
        <v>119</v>
      </c>
      <c r="CQ280">
        <v>464</v>
      </c>
      <c r="CR280">
        <v>0</v>
      </c>
      <c r="CW280">
        <v>2423499</v>
      </c>
      <c r="CY280">
        <v>1</v>
      </c>
      <c r="CZ280">
        <v>0</v>
      </c>
      <c r="DA280">
        <v>1</v>
      </c>
      <c r="DB280">
        <v>0</v>
      </c>
      <c r="DC280">
        <v>0</v>
      </c>
      <c r="DD280">
        <v>0</v>
      </c>
      <c r="DE280">
        <v>0</v>
      </c>
      <c r="DF280">
        <v>0</v>
      </c>
      <c r="DG280">
        <v>0</v>
      </c>
      <c r="DH280">
        <v>0</v>
      </c>
      <c r="DI280">
        <v>0</v>
      </c>
    </row>
    <row r="281" spans="1:113" x14ac:dyDescent="0.3">
      <c r="A281" t="str">
        <f>"09/28/2021 13:52:50.681"</f>
        <v>09/28/2021 13:52:50.681</v>
      </c>
      <c r="C281" t="str">
        <f t="shared" si="14"/>
        <v>FFDFD3C0</v>
      </c>
      <c r="D281" t="s">
        <v>113</v>
      </c>
      <c r="E281">
        <v>7</v>
      </c>
      <c r="H281">
        <v>170</v>
      </c>
      <c r="I281" t="s">
        <v>114</v>
      </c>
      <c r="J281" t="s">
        <v>115</v>
      </c>
      <c r="K281">
        <v>0</v>
      </c>
      <c r="L281">
        <v>3</v>
      </c>
      <c r="M281">
        <v>0</v>
      </c>
      <c r="N281">
        <v>2</v>
      </c>
      <c r="O281">
        <v>1</v>
      </c>
      <c r="P281">
        <v>0</v>
      </c>
      <c r="Q281">
        <v>0</v>
      </c>
      <c r="S281" t="str">
        <f>"13:52:50.477"</f>
        <v>13:52:50.477</v>
      </c>
      <c r="T281" t="str">
        <f>"13:52:50.077"</f>
        <v>13:52:50.077</v>
      </c>
      <c r="U281" t="str">
        <f t="shared" si="16"/>
        <v>A92BC1</v>
      </c>
      <c r="V281">
        <v>0</v>
      </c>
      <c r="W281">
        <v>0</v>
      </c>
      <c r="X281">
        <v>2</v>
      </c>
      <c r="Z281">
        <v>0</v>
      </c>
      <c r="AA281">
        <v>9</v>
      </c>
      <c r="AB281">
        <v>3</v>
      </c>
      <c r="AC281">
        <v>0</v>
      </c>
      <c r="AD281">
        <v>10</v>
      </c>
      <c r="AE281">
        <v>0</v>
      </c>
      <c r="AF281">
        <v>3</v>
      </c>
      <c r="AG281">
        <v>2</v>
      </c>
      <c r="AH281">
        <v>0</v>
      </c>
      <c r="AI281" t="s">
        <v>382</v>
      </c>
      <c r="AJ281">
        <v>45.693769000000003</v>
      </c>
      <c r="AK281" t="s">
        <v>383</v>
      </c>
      <c r="AL281">
        <v>-89.444032000000007</v>
      </c>
      <c r="AM281">
        <v>100</v>
      </c>
      <c r="AN281">
        <v>6600</v>
      </c>
      <c r="AO281" t="s">
        <v>118</v>
      </c>
      <c r="AP281">
        <v>121</v>
      </c>
      <c r="AQ281">
        <v>97</v>
      </c>
      <c r="AR281">
        <v>2176</v>
      </c>
      <c r="AZ281">
        <v>1200</v>
      </c>
      <c r="BA281">
        <v>1</v>
      </c>
      <c r="BB281" t="str">
        <f t="shared" si="15"/>
        <v xml:space="preserve">N690LS  </v>
      </c>
      <c r="BC281">
        <v>1</v>
      </c>
      <c r="BE281">
        <v>0</v>
      </c>
      <c r="BF281">
        <v>0</v>
      </c>
      <c r="BG281">
        <v>0</v>
      </c>
      <c r="BH281">
        <v>6750</v>
      </c>
      <c r="BI281">
        <v>1</v>
      </c>
      <c r="BJ281">
        <v>1</v>
      </c>
      <c r="BK281">
        <v>1</v>
      </c>
      <c r="BL281">
        <v>0</v>
      </c>
      <c r="BO281">
        <v>0</v>
      </c>
      <c r="BP281">
        <v>0</v>
      </c>
      <c r="BW281" t="str">
        <f>"13:52:50.477"</f>
        <v>13:52:50.477</v>
      </c>
      <c r="CJ281">
        <v>0</v>
      </c>
      <c r="CK281">
        <v>2</v>
      </c>
      <c r="CL281">
        <v>0</v>
      </c>
      <c r="CM281">
        <v>2</v>
      </c>
      <c r="CN281">
        <v>0</v>
      </c>
      <c r="CO281">
        <v>5</v>
      </c>
      <c r="CP281" t="s">
        <v>119</v>
      </c>
      <c r="CQ281">
        <v>210</v>
      </c>
      <c r="CR281">
        <v>2</v>
      </c>
      <c r="CW281">
        <v>2168377</v>
      </c>
      <c r="CY281">
        <v>1</v>
      </c>
      <c r="CZ281">
        <v>0</v>
      </c>
      <c r="DA281">
        <v>0</v>
      </c>
      <c r="DB281">
        <v>0</v>
      </c>
      <c r="DC281">
        <v>0</v>
      </c>
      <c r="DD281">
        <v>0</v>
      </c>
      <c r="DE281">
        <v>0</v>
      </c>
      <c r="DF281">
        <v>0</v>
      </c>
      <c r="DG281">
        <v>0</v>
      </c>
      <c r="DH281">
        <v>0</v>
      </c>
      <c r="DI281">
        <v>0</v>
      </c>
    </row>
    <row r="282" spans="1:113" x14ac:dyDescent="0.3">
      <c r="A282" t="str">
        <f>"09/28/2021 13:52:50.681"</f>
        <v>09/28/2021 13:52:50.681</v>
      </c>
      <c r="C282" t="str">
        <f t="shared" si="14"/>
        <v>FFDFD3C0</v>
      </c>
      <c r="D282" t="s">
        <v>120</v>
      </c>
      <c r="E282">
        <v>12</v>
      </c>
      <c r="F282">
        <v>1012</v>
      </c>
      <c r="G282" t="s">
        <v>114</v>
      </c>
      <c r="J282" t="s">
        <v>121</v>
      </c>
      <c r="K282">
        <v>0</v>
      </c>
      <c r="L282">
        <v>3</v>
      </c>
      <c r="M282">
        <v>0</v>
      </c>
      <c r="N282">
        <v>2</v>
      </c>
      <c r="O282">
        <v>1</v>
      </c>
      <c r="P282">
        <v>0</v>
      </c>
      <c r="Q282">
        <v>0</v>
      </c>
      <c r="S282" t="str">
        <f>"13:52:50.477"</f>
        <v>13:52:50.477</v>
      </c>
      <c r="T282" t="str">
        <f>"13:52:50.077"</f>
        <v>13:52:50.077</v>
      </c>
      <c r="U282" t="str">
        <f t="shared" si="16"/>
        <v>A92BC1</v>
      </c>
      <c r="V282">
        <v>0</v>
      </c>
      <c r="W282">
        <v>0</v>
      </c>
      <c r="X282">
        <v>2</v>
      </c>
      <c r="Z282">
        <v>0</v>
      </c>
      <c r="AA282">
        <v>9</v>
      </c>
      <c r="AB282">
        <v>3</v>
      </c>
      <c r="AC282">
        <v>0</v>
      </c>
      <c r="AD282">
        <v>10</v>
      </c>
      <c r="AE282">
        <v>0</v>
      </c>
      <c r="AF282">
        <v>3</v>
      </c>
      <c r="AG282">
        <v>2</v>
      </c>
      <c r="AH282">
        <v>0</v>
      </c>
      <c r="AI282" t="s">
        <v>382</v>
      </c>
      <c r="AJ282">
        <v>45.693769000000003</v>
      </c>
      <c r="AK282" t="s">
        <v>383</v>
      </c>
      <c r="AL282">
        <v>-89.444032000000007</v>
      </c>
      <c r="AM282">
        <v>100</v>
      </c>
      <c r="AN282">
        <v>6600</v>
      </c>
      <c r="AO282" t="s">
        <v>118</v>
      </c>
      <c r="AP282">
        <v>121</v>
      </c>
      <c r="AQ282">
        <v>97</v>
      </c>
      <c r="AR282">
        <v>2176</v>
      </c>
      <c r="AZ282">
        <v>1200</v>
      </c>
      <c r="BA282">
        <v>1</v>
      </c>
      <c r="BB282" t="str">
        <f t="shared" si="15"/>
        <v xml:space="preserve">N690LS  </v>
      </c>
      <c r="BC282">
        <v>1</v>
      </c>
      <c r="BE282">
        <v>0</v>
      </c>
      <c r="BF282">
        <v>0</v>
      </c>
      <c r="BG282">
        <v>0</v>
      </c>
      <c r="BH282">
        <v>6750</v>
      </c>
      <c r="BI282">
        <v>1</v>
      </c>
      <c r="BJ282">
        <v>1</v>
      </c>
      <c r="BK282">
        <v>1</v>
      </c>
      <c r="BL282">
        <v>0</v>
      </c>
      <c r="BO282">
        <v>0</v>
      </c>
      <c r="BP282">
        <v>0</v>
      </c>
      <c r="BW282" t="str">
        <f>"13:52:50.477"</f>
        <v>13:52:50.477</v>
      </c>
      <c r="CJ282">
        <v>0</v>
      </c>
      <c r="CK282">
        <v>2</v>
      </c>
      <c r="CL282">
        <v>0</v>
      </c>
      <c r="CM282">
        <v>2</v>
      </c>
      <c r="CN282">
        <v>0</v>
      </c>
      <c r="CO282">
        <v>5</v>
      </c>
      <c r="CP282" t="s">
        <v>119</v>
      </c>
      <c r="CQ282">
        <v>210</v>
      </c>
      <c r="CR282">
        <v>2</v>
      </c>
      <c r="CW282">
        <v>2168377</v>
      </c>
      <c r="CY282">
        <v>1</v>
      </c>
      <c r="CZ282">
        <v>0</v>
      </c>
      <c r="DA282">
        <v>1</v>
      </c>
      <c r="DB282">
        <v>0</v>
      </c>
      <c r="DC282">
        <v>0</v>
      </c>
      <c r="DD282">
        <v>0</v>
      </c>
      <c r="DE282">
        <v>0</v>
      </c>
      <c r="DF282">
        <v>0</v>
      </c>
      <c r="DG282">
        <v>0</v>
      </c>
      <c r="DH282">
        <v>0</v>
      </c>
      <c r="DI282">
        <v>0</v>
      </c>
    </row>
    <row r="283" spans="1:113" x14ac:dyDescent="0.3">
      <c r="A283" t="str">
        <f>"09/28/2021 13:52:52.056"</f>
        <v>09/28/2021 13:52:52.056</v>
      </c>
      <c r="C283" t="str">
        <f t="shared" si="14"/>
        <v>FFDFD3C0</v>
      </c>
      <c r="D283" t="s">
        <v>120</v>
      </c>
      <c r="E283">
        <v>12</v>
      </c>
      <c r="F283">
        <v>1012</v>
      </c>
      <c r="G283" t="s">
        <v>114</v>
      </c>
      <c r="J283" t="s">
        <v>121</v>
      </c>
      <c r="K283">
        <v>0</v>
      </c>
      <c r="L283">
        <v>3</v>
      </c>
      <c r="M283">
        <v>0</v>
      </c>
      <c r="N283">
        <v>2</v>
      </c>
      <c r="O283">
        <v>1</v>
      </c>
      <c r="P283">
        <v>0</v>
      </c>
      <c r="Q283">
        <v>0</v>
      </c>
      <c r="S283" t="str">
        <f>"13:52:51.609"</f>
        <v>13:52:51.609</v>
      </c>
      <c r="T283" t="str">
        <f>"13:52:51.109"</f>
        <v>13:52:51.109</v>
      </c>
      <c r="U283" t="str">
        <f t="shared" si="16"/>
        <v>A92BC1</v>
      </c>
      <c r="V283">
        <v>0</v>
      </c>
      <c r="W283">
        <v>0</v>
      </c>
      <c r="X283">
        <v>2</v>
      </c>
      <c r="Z283">
        <v>0</v>
      </c>
      <c r="AA283">
        <v>9</v>
      </c>
      <c r="AB283">
        <v>3</v>
      </c>
      <c r="AC283">
        <v>0</v>
      </c>
      <c r="AD283">
        <v>10</v>
      </c>
      <c r="AE283">
        <v>0</v>
      </c>
      <c r="AF283">
        <v>3</v>
      </c>
      <c r="AG283">
        <v>2</v>
      </c>
      <c r="AH283">
        <v>0</v>
      </c>
      <c r="AI283" t="s">
        <v>384</v>
      </c>
      <c r="AJ283">
        <v>45.694242000000003</v>
      </c>
      <c r="AK283" t="s">
        <v>385</v>
      </c>
      <c r="AL283">
        <v>-89.443173000000002</v>
      </c>
      <c r="AM283">
        <v>100</v>
      </c>
      <c r="AN283">
        <v>6700</v>
      </c>
      <c r="AO283" t="s">
        <v>118</v>
      </c>
      <c r="AP283">
        <v>121</v>
      </c>
      <c r="AQ283">
        <v>97</v>
      </c>
      <c r="AR283">
        <v>1984</v>
      </c>
      <c r="AZ283">
        <v>1200</v>
      </c>
      <c r="BA283">
        <v>1</v>
      </c>
      <c r="BB283" t="str">
        <f t="shared" si="15"/>
        <v xml:space="preserve">N690LS  </v>
      </c>
      <c r="BC283">
        <v>1</v>
      </c>
      <c r="BE283">
        <v>0</v>
      </c>
      <c r="BF283">
        <v>0</v>
      </c>
      <c r="BG283">
        <v>0</v>
      </c>
      <c r="BH283">
        <v>6800</v>
      </c>
      <c r="BI283">
        <v>1</v>
      </c>
      <c r="BJ283">
        <v>1</v>
      </c>
      <c r="BK283">
        <v>1</v>
      </c>
      <c r="BL283">
        <v>0</v>
      </c>
      <c r="BO283">
        <v>0</v>
      </c>
      <c r="BP283">
        <v>0</v>
      </c>
      <c r="BW283" t="str">
        <f>"13:52:51.612"</f>
        <v>13:52:51.612</v>
      </c>
      <c r="CJ283">
        <v>0</v>
      </c>
      <c r="CK283">
        <v>2</v>
      </c>
      <c r="CL283">
        <v>0</v>
      </c>
      <c r="CM283">
        <v>2</v>
      </c>
      <c r="CN283">
        <v>0</v>
      </c>
      <c r="CO283">
        <v>7</v>
      </c>
      <c r="CP283" t="s">
        <v>119</v>
      </c>
      <c r="CQ283">
        <v>197</v>
      </c>
      <c r="CR283">
        <v>1</v>
      </c>
      <c r="CW283">
        <v>7113901</v>
      </c>
      <c r="CY283">
        <v>1</v>
      </c>
      <c r="CZ283">
        <v>0</v>
      </c>
      <c r="DA283">
        <v>0</v>
      </c>
      <c r="DB283">
        <v>0</v>
      </c>
      <c r="DC283">
        <v>0</v>
      </c>
      <c r="DD283">
        <v>0</v>
      </c>
      <c r="DE283">
        <v>0</v>
      </c>
      <c r="DF283">
        <v>0</v>
      </c>
      <c r="DG283">
        <v>0</v>
      </c>
      <c r="DH283">
        <v>0</v>
      </c>
      <c r="DI283">
        <v>0</v>
      </c>
    </row>
    <row r="284" spans="1:113" x14ac:dyDescent="0.3">
      <c r="A284" t="str">
        <f>"09/28/2021 13:52:52.056"</f>
        <v>09/28/2021 13:52:52.056</v>
      </c>
      <c r="C284" t="str">
        <f t="shared" si="14"/>
        <v>FFDFD3C0</v>
      </c>
      <c r="D284" t="s">
        <v>113</v>
      </c>
      <c r="E284">
        <v>7</v>
      </c>
      <c r="H284">
        <v>170</v>
      </c>
      <c r="I284" t="s">
        <v>114</v>
      </c>
      <c r="J284" t="s">
        <v>115</v>
      </c>
      <c r="K284">
        <v>0</v>
      </c>
      <c r="L284">
        <v>3</v>
      </c>
      <c r="M284">
        <v>0</v>
      </c>
      <c r="N284">
        <v>2</v>
      </c>
      <c r="O284">
        <v>1</v>
      </c>
      <c r="P284">
        <v>0</v>
      </c>
      <c r="Q284">
        <v>0</v>
      </c>
      <c r="S284" t="str">
        <f>"13:52:51.609"</f>
        <v>13:52:51.609</v>
      </c>
      <c r="T284" t="str">
        <f>"13:52:51.109"</f>
        <v>13:52:51.109</v>
      </c>
      <c r="U284" t="str">
        <f t="shared" si="16"/>
        <v>A92BC1</v>
      </c>
      <c r="V284">
        <v>0</v>
      </c>
      <c r="W284">
        <v>0</v>
      </c>
      <c r="X284">
        <v>2</v>
      </c>
      <c r="Z284">
        <v>0</v>
      </c>
      <c r="AA284">
        <v>9</v>
      </c>
      <c r="AB284">
        <v>3</v>
      </c>
      <c r="AC284">
        <v>0</v>
      </c>
      <c r="AD284">
        <v>10</v>
      </c>
      <c r="AE284">
        <v>0</v>
      </c>
      <c r="AF284">
        <v>3</v>
      </c>
      <c r="AG284">
        <v>2</v>
      </c>
      <c r="AH284">
        <v>0</v>
      </c>
      <c r="AI284" t="s">
        <v>384</v>
      </c>
      <c r="AJ284">
        <v>45.694242000000003</v>
      </c>
      <c r="AK284" t="s">
        <v>385</v>
      </c>
      <c r="AL284">
        <v>-89.443173000000002</v>
      </c>
      <c r="AM284">
        <v>100</v>
      </c>
      <c r="AN284">
        <v>6700</v>
      </c>
      <c r="AO284" t="s">
        <v>118</v>
      </c>
      <c r="AP284">
        <v>121</v>
      </c>
      <c r="AQ284">
        <v>97</v>
      </c>
      <c r="AR284">
        <v>1984</v>
      </c>
      <c r="AZ284">
        <v>1200</v>
      </c>
      <c r="BA284">
        <v>1</v>
      </c>
      <c r="BB284" t="str">
        <f t="shared" si="15"/>
        <v xml:space="preserve">N690LS  </v>
      </c>
      <c r="BC284">
        <v>1</v>
      </c>
      <c r="BE284">
        <v>0</v>
      </c>
      <c r="BF284">
        <v>0</v>
      </c>
      <c r="BG284">
        <v>0</v>
      </c>
      <c r="BH284">
        <v>6800</v>
      </c>
      <c r="BI284">
        <v>1</v>
      </c>
      <c r="BJ284">
        <v>1</v>
      </c>
      <c r="BK284">
        <v>1</v>
      </c>
      <c r="BL284">
        <v>0</v>
      </c>
      <c r="BO284">
        <v>0</v>
      </c>
      <c r="BP284">
        <v>0</v>
      </c>
      <c r="BW284" t="str">
        <f>"13:52:51.612"</f>
        <v>13:52:51.612</v>
      </c>
      <c r="CJ284">
        <v>0</v>
      </c>
      <c r="CK284">
        <v>2</v>
      </c>
      <c r="CL284">
        <v>0</v>
      </c>
      <c r="CM284">
        <v>2</v>
      </c>
      <c r="CN284">
        <v>0</v>
      </c>
      <c r="CO284">
        <v>7</v>
      </c>
      <c r="CP284" t="s">
        <v>119</v>
      </c>
      <c r="CQ284">
        <v>197</v>
      </c>
      <c r="CR284">
        <v>1</v>
      </c>
      <c r="CW284">
        <v>7113901</v>
      </c>
      <c r="CY284">
        <v>1</v>
      </c>
      <c r="CZ284">
        <v>0</v>
      </c>
      <c r="DA284">
        <v>1</v>
      </c>
      <c r="DB284">
        <v>0</v>
      </c>
      <c r="DC284">
        <v>0</v>
      </c>
      <c r="DD284">
        <v>0</v>
      </c>
      <c r="DE284">
        <v>0</v>
      </c>
      <c r="DF284">
        <v>0</v>
      </c>
      <c r="DG284">
        <v>0</v>
      </c>
      <c r="DH284">
        <v>0</v>
      </c>
      <c r="DI284">
        <v>0</v>
      </c>
    </row>
    <row r="285" spans="1:113" x14ac:dyDescent="0.3">
      <c r="A285" t="str">
        <f>"09/28/2021 13:52:52.933"</f>
        <v>09/28/2021 13:52:52.933</v>
      </c>
      <c r="C285" t="str">
        <f t="shared" si="14"/>
        <v>FFDFD3C0</v>
      </c>
      <c r="D285" t="s">
        <v>113</v>
      </c>
      <c r="E285">
        <v>7</v>
      </c>
      <c r="H285">
        <v>170</v>
      </c>
      <c r="I285" t="s">
        <v>114</v>
      </c>
      <c r="J285" t="s">
        <v>115</v>
      </c>
      <c r="K285">
        <v>0</v>
      </c>
      <c r="L285">
        <v>3</v>
      </c>
      <c r="M285">
        <v>0</v>
      </c>
      <c r="N285">
        <v>2</v>
      </c>
      <c r="O285">
        <v>1</v>
      </c>
      <c r="P285">
        <v>0</v>
      </c>
      <c r="Q285">
        <v>0</v>
      </c>
      <c r="S285" t="str">
        <f>"13:52:52.695"</f>
        <v>13:52:52.695</v>
      </c>
      <c r="T285" t="str">
        <f>"13:52:52.195"</f>
        <v>13:52:52.195</v>
      </c>
      <c r="U285" t="str">
        <f t="shared" si="16"/>
        <v>A92BC1</v>
      </c>
      <c r="V285">
        <v>0</v>
      </c>
      <c r="W285">
        <v>0</v>
      </c>
      <c r="X285">
        <v>2</v>
      </c>
      <c r="Z285">
        <v>0</v>
      </c>
      <c r="AA285">
        <v>9</v>
      </c>
      <c r="AB285">
        <v>3</v>
      </c>
      <c r="AC285">
        <v>0</v>
      </c>
      <c r="AD285">
        <v>10</v>
      </c>
      <c r="AE285">
        <v>0</v>
      </c>
      <c r="AF285">
        <v>3</v>
      </c>
      <c r="AG285">
        <v>2</v>
      </c>
      <c r="AH285">
        <v>0</v>
      </c>
      <c r="AI285" t="s">
        <v>386</v>
      </c>
      <c r="AJ285">
        <v>45.694735000000001</v>
      </c>
      <c r="AK285" t="s">
        <v>387</v>
      </c>
      <c r="AL285">
        <v>-89.442314999999994</v>
      </c>
      <c r="AM285">
        <v>100</v>
      </c>
      <c r="AN285">
        <v>6700</v>
      </c>
      <c r="AO285" t="s">
        <v>118</v>
      </c>
      <c r="AP285">
        <v>122</v>
      </c>
      <c r="AQ285">
        <v>97</v>
      </c>
      <c r="AR285">
        <v>1856</v>
      </c>
      <c r="AZ285">
        <v>1200</v>
      </c>
      <c r="BA285">
        <v>1</v>
      </c>
      <c r="BB285" t="str">
        <f t="shared" si="15"/>
        <v xml:space="preserve">N690LS  </v>
      </c>
      <c r="BC285">
        <v>1</v>
      </c>
      <c r="BE285">
        <v>0</v>
      </c>
      <c r="BF285">
        <v>0</v>
      </c>
      <c r="BG285">
        <v>0</v>
      </c>
      <c r="BH285">
        <v>6825</v>
      </c>
      <c r="BI285">
        <v>1</v>
      </c>
      <c r="BJ285">
        <v>1</v>
      </c>
      <c r="BK285">
        <v>1</v>
      </c>
      <c r="BL285">
        <v>0</v>
      </c>
      <c r="BO285">
        <v>0</v>
      </c>
      <c r="BP285">
        <v>0</v>
      </c>
      <c r="BW285" t="str">
        <f>"13:52:52.702"</f>
        <v>13:52:52.702</v>
      </c>
      <c r="CJ285">
        <v>0</v>
      </c>
      <c r="CK285">
        <v>2</v>
      </c>
      <c r="CL285">
        <v>0</v>
      </c>
      <c r="CM285">
        <v>2</v>
      </c>
      <c r="CN285">
        <v>0</v>
      </c>
      <c r="CO285">
        <v>5</v>
      </c>
      <c r="CP285" t="s">
        <v>119</v>
      </c>
      <c r="CQ285">
        <v>210</v>
      </c>
      <c r="CR285">
        <v>2</v>
      </c>
      <c r="CW285">
        <v>2169576</v>
      </c>
      <c r="CY285">
        <v>1</v>
      </c>
      <c r="CZ285">
        <v>0</v>
      </c>
      <c r="DA285">
        <v>0</v>
      </c>
      <c r="DB285">
        <v>0</v>
      </c>
      <c r="DC285">
        <v>0</v>
      </c>
      <c r="DD285">
        <v>0</v>
      </c>
      <c r="DE285">
        <v>0</v>
      </c>
      <c r="DF285">
        <v>0</v>
      </c>
      <c r="DG285">
        <v>0</v>
      </c>
      <c r="DH285">
        <v>0</v>
      </c>
      <c r="DI285">
        <v>0</v>
      </c>
    </row>
    <row r="286" spans="1:113" x14ac:dyDescent="0.3">
      <c r="A286" t="str">
        <f>"09/28/2021 13:52:52.933"</f>
        <v>09/28/2021 13:52:52.933</v>
      </c>
      <c r="C286" t="str">
        <f t="shared" si="14"/>
        <v>FFDFD3C0</v>
      </c>
      <c r="D286" t="s">
        <v>120</v>
      </c>
      <c r="E286">
        <v>12</v>
      </c>
      <c r="F286">
        <v>1012</v>
      </c>
      <c r="G286" t="s">
        <v>114</v>
      </c>
      <c r="J286" t="s">
        <v>121</v>
      </c>
      <c r="K286">
        <v>0</v>
      </c>
      <c r="L286">
        <v>3</v>
      </c>
      <c r="M286">
        <v>0</v>
      </c>
      <c r="N286">
        <v>2</v>
      </c>
      <c r="O286">
        <v>1</v>
      </c>
      <c r="P286">
        <v>0</v>
      </c>
      <c r="Q286">
        <v>0</v>
      </c>
      <c r="S286" t="str">
        <f>"13:52:52.695"</f>
        <v>13:52:52.695</v>
      </c>
      <c r="T286" t="str">
        <f>"13:52:52.195"</f>
        <v>13:52:52.195</v>
      </c>
      <c r="U286" t="str">
        <f t="shared" si="16"/>
        <v>A92BC1</v>
      </c>
      <c r="V286">
        <v>0</v>
      </c>
      <c r="W286">
        <v>0</v>
      </c>
      <c r="X286">
        <v>2</v>
      </c>
      <c r="Z286">
        <v>0</v>
      </c>
      <c r="AA286">
        <v>9</v>
      </c>
      <c r="AB286">
        <v>3</v>
      </c>
      <c r="AC286">
        <v>0</v>
      </c>
      <c r="AD286">
        <v>10</v>
      </c>
      <c r="AE286">
        <v>0</v>
      </c>
      <c r="AF286">
        <v>3</v>
      </c>
      <c r="AG286">
        <v>2</v>
      </c>
      <c r="AH286">
        <v>0</v>
      </c>
      <c r="AI286" t="s">
        <v>386</v>
      </c>
      <c r="AJ286">
        <v>45.694735000000001</v>
      </c>
      <c r="AK286" t="s">
        <v>387</v>
      </c>
      <c r="AL286">
        <v>-89.442314999999994</v>
      </c>
      <c r="AM286">
        <v>100</v>
      </c>
      <c r="AN286">
        <v>6700</v>
      </c>
      <c r="AO286" t="s">
        <v>118</v>
      </c>
      <c r="AP286">
        <v>122</v>
      </c>
      <c r="AQ286">
        <v>97</v>
      </c>
      <c r="AR286">
        <v>1856</v>
      </c>
      <c r="AZ286">
        <v>1200</v>
      </c>
      <c r="BA286">
        <v>1</v>
      </c>
      <c r="BB286" t="str">
        <f t="shared" si="15"/>
        <v xml:space="preserve">N690LS  </v>
      </c>
      <c r="BC286">
        <v>1</v>
      </c>
      <c r="BE286">
        <v>0</v>
      </c>
      <c r="BF286">
        <v>0</v>
      </c>
      <c r="BG286">
        <v>0</v>
      </c>
      <c r="BH286">
        <v>6825</v>
      </c>
      <c r="BI286">
        <v>1</v>
      </c>
      <c r="BJ286">
        <v>1</v>
      </c>
      <c r="BK286">
        <v>1</v>
      </c>
      <c r="BL286">
        <v>0</v>
      </c>
      <c r="BO286">
        <v>0</v>
      </c>
      <c r="BP286">
        <v>0</v>
      </c>
      <c r="BW286" t="str">
        <f>"13:52:52.702"</f>
        <v>13:52:52.702</v>
      </c>
      <c r="CJ286">
        <v>0</v>
      </c>
      <c r="CK286">
        <v>2</v>
      </c>
      <c r="CL286">
        <v>0</v>
      </c>
      <c r="CM286">
        <v>2</v>
      </c>
      <c r="CN286">
        <v>0</v>
      </c>
      <c r="CO286">
        <v>5</v>
      </c>
      <c r="CP286" t="s">
        <v>119</v>
      </c>
      <c r="CQ286">
        <v>464</v>
      </c>
      <c r="CR286">
        <v>3</v>
      </c>
      <c r="CW286">
        <v>5383429</v>
      </c>
      <c r="CY286">
        <v>1</v>
      </c>
      <c r="CZ286">
        <v>0</v>
      </c>
      <c r="DA286">
        <v>1</v>
      </c>
      <c r="DB286">
        <v>0</v>
      </c>
      <c r="DC286">
        <v>0</v>
      </c>
      <c r="DD286">
        <v>0</v>
      </c>
      <c r="DE286">
        <v>0</v>
      </c>
      <c r="DF286">
        <v>0</v>
      </c>
      <c r="DG286">
        <v>0</v>
      </c>
      <c r="DH286">
        <v>0</v>
      </c>
      <c r="DI286">
        <v>0</v>
      </c>
    </row>
    <row r="287" spans="1:113" x14ac:dyDescent="0.3">
      <c r="A287" t="str">
        <f>"09/28/2021 13:52:53.936"</f>
        <v>09/28/2021 13:52:53.936</v>
      </c>
      <c r="C287" t="str">
        <f t="shared" si="14"/>
        <v>FFDFD3C0</v>
      </c>
      <c r="D287" t="s">
        <v>113</v>
      </c>
      <c r="E287">
        <v>7</v>
      </c>
      <c r="H287">
        <v>170</v>
      </c>
      <c r="I287" t="s">
        <v>114</v>
      </c>
      <c r="J287" t="s">
        <v>115</v>
      </c>
      <c r="K287">
        <v>0</v>
      </c>
      <c r="L287">
        <v>3</v>
      </c>
      <c r="M287">
        <v>0</v>
      </c>
      <c r="N287">
        <v>2</v>
      </c>
      <c r="O287">
        <v>1</v>
      </c>
      <c r="P287">
        <v>0</v>
      </c>
      <c r="Q287">
        <v>0</v>
      </c>
      <c r="S287" t="str">
        <f>"13:52:53.703"</f>
        <v>13:52:53.703</v>
      </c>
      <c r="T287" t="str">
        <f>"13:52:53.203"</f>
        <v>13:52:53.203</v>
      </c>
      <c r="U287" t="str">
        <f t="shared" si="16"/>
        <v>A92BC1</v>
      </c>
      <c r="V287">
        <v>0</v>
      </c>
      <c r="W287">
        <v>0</v>
      </c>
      <c r="X287">
        <v>2</v>
      </c>
      <c r="Z287">
        <v>0</v>
      </c>
      <c r="AA287">
        <v>9</v>
      </c>
      <c r="AB287">
        <v>3</v>
      </c>
      <c r="AC287">
        <v>0</v>
      </c>
      <c r="AD287">
        <v>10</v>
      </c>
      <c r="AE287">
        <v>0</v>
      </c>
      <c r="AF287">
        <v>3</v>
      </c>
      <c r="AG287">
        <v>2</v>
      </c>
      <c r="AH287">
        <v>0</v>
      </c>
      <c r="AI287" t="s">
        <v>388</v>
      </c>
      <c r="AJ287">
        <v>45.695207000000003</v>
      </c>
      <c r="AK287" t="s">
        <v>389</v>
      </c>
      <c r="AL287">
        <v>-89.441478000000004</v>
      </c>
      <c r="AM287">
        <v>100</v>
      </c>
      <c r="AN287">
        <v>6700</v>
      </c>
      <c r="AO287" t="s">
        <v>118</v>
      </c>
      <c r="AP287">
        <v>122</v>
      </c>
      <c r="AQ287">
        <v>98</v>
      </c>
      <c r="AR287">
        <v>1792</v>
      </c>
      <c r="AZ287">
        <v>1200</v>
      </c>
      <c r="BA287">
        <v>1</v>
      </c>
      <c r="BB287" t="str">
        <f t="shared" si="15"/>
        <v xml:space="preserve">N690LS  </v>
      </c>
      <c r="BC287">
        <v>1</v>
      </c>
      <c r="BE287">
        <v>0</v>
      </c>
      <c r="BF287">
        <v>0</v>
      </c>
      <c r="BG287">
        <v>0</v>
      </c>
      <c r="BH287">
        <v>6875</v>
      </c>
      <c r="BI287">
        <v>1</v>
      </c>
      <c r="BJ287">
        <v>1</v>
      </c>
      <c r="BK287">
        <v>1</v>
      </c>
      <c r="BL287">
        <v>0</v>
      </c>
      <c r="BO287">
        <v>0</v>
      </c>
      <c r="BP287">
        <v>0</v>
      </c>
      <c r="BW287" t="str">
        <f>"13:52:53.708"</f>
        <v>13:52:53.708</v>
      </c>
      <c r="CJ287">
        <v>0</v>
      </c>
      <c r="CK287">
        <v>2</v>
      </c>
      <c r="CL287">
        <v>0</v>
      </c>
      <c r="CM287">
        <v>2</v>
      </c>
      <c r="CN287">
        <v>0</v>
      </c>
      <c r="CO287">
        <v>5</v>
      </c>
      <c r="CP287" t="s">
        <v>119</v>
      </c>
      <c r="CQ287">
        <v>209</v>
      </c>
      <c r="CR287">
        <v>3</v>
      </c>
      <c r="CW287">
        <v>7156332</v>
      </c>
      <c r="CY287">
        <v>1</v>
      </c>
      <c r="CZ287">
        <v>0</v>
      </c>
      <c r="DA287">
        <v>0</v>
      </c>
      <c r="DB287">
        <v>0</v>
      </c>
      <c r="DC287">
        <v>0</v>
      </c>
      <c r="DD287">
        <v>0</v>
      </c>
      <c r="DE287">
        <v>0</v>
      </c>
      <c r="DF287">
        <v>0</v>
      </c>
      <c r="DG287">
        <v>0</v>
      </c>
      <c r="DH287">
        <v>0</v>
      </c>
      <c r="DI287">
        <v>0</v>
      </c>
    </row>
    <row r="288" spans="1:113" x14ac:dyDescent="0.3">
      <c r="A288" t="str">
        <f>"09/28/2021 13:52:53.951"</f>
        <v>09/28/2021 13:52:53.951</v>
      </c>
      <c r="C288" t="str">
        <f t="shared" si="14"/>
        <v>FFDFD3C0</v>
      </c>
      <c r="D288" t="s">
        <v>120</v>
      </c>
      <c r="E288">
        <v>12</v>
      </c>
      <c r="F288">
        <v>1012</v>
      </c>
      <c r="G288" t="s">
        <v>114</v>
      </c>
      <c r="J288" t="s">
        <v>121</v>
      </c>
      <c r="K288">
        <v>0</v>
      </c>
      <c r="L288">
        <v>3</v>
      </c>
      <c r="M288">
        <v>0</v>
      </c>
      <c r="N288">
        <v>2</v>
      </c>
      <c r="O288">
        <v>1</v>
      </c>
      <c r="P288">
        <v>0</v>
      </c>
      <c r="Q288">
        <v>0</v>
      </c>
      <c r="S288" t="str">
        <f>"13:52:53.703"</f>
        <v>13:52:53.703</v>
      </c>
      <c r="T288" t="str">
        <f>"13:52:53.203"</f>
        <v>13:52:53.203</v>
      </c>
      <c r="U288" t="str">
        <f t="shared" si="16"/>
        <v>A92BC1</v>
      </c>
      <c r="V288">
        <v>0</v>
      </c>
      <c r="W288">
        <v>0</v>
      </c>
      <c r="X288">
        <v>2</v>
      </c>
      <c r="Z288">
        <v>0</v>
      </c>
      <c r="AA288">
        <v>9</v>
      </c>
      <c r="AB288">
        <v>3</v>
      </c>
      <c r="AC288">
        <v>0</v>
      </c>
      <c r="AD288">
        <v>10</v>
      </c>
      <c r="AE288">
        <v>0</v>
      </c>
      <c r="AF288">
        <v>3</v>
      </c>
      <c r="AG288">
        <v>2</v>
      </c>
      <c r="AH288">
        <v>0</v>
      </c>
      <c r="AI288" t="s">
        <v>388</v>
      </c>
      <c r="AJ288">
        <v>45.695207000000003</v>
      </c>
      <c r="AK288" t="s">
        <v>389</v>
      </c>
      <c r="AL288">
        <v>-89.441478000000004</v>
      </c>
      <c r="AM288">
        <v>100</v>
      </c>
      <c r="AN288">
        <v>6700</v>
      </c>
      <c r="AO288" t="s">
        <v>118</v>
      </c>
      <c r="AP288">
        <v>122</v>
      </c>
      <c r="AQ288">
        <v>98</v>
      </c>
      <c r="AR288">
        <v>1792</v>
      </c>
      <c r="AZ288">
        <v>1200</v>
      </c>
      <c r="BA288">
        <v>1</v>
      </c>
      <c r="BB288" t="str">
        <f t="shared" si="15"/>
        <v xml:space="preserve">N690LS  </v>
      </c>
      <c r="BC288">
        <v>1</v>
      </c>
      <c r="BE288">
        <v>0</v>
      </c>
      <c r="BF288">
        <v>0</v>
      </c>
      <c r="BG288">
        <v>0</v>
      </c>
      <c r="BH288">
        <v>6875</v>
      </c>
      <c r="BI288">
        <v>1</v>
      </c>
      <c r="BJ288">
        <v>1</v>
      </c>
      <c r="BK288">
        <v>1</v>
      </c>
      <c r="BL288">
        <v>0</v>
      </c>
      <c r="BO288">
        <v>0</v>
      </c>
      <c r="BP288">
        <v>0</v>
      </c>
      <c r="BW288" t="str">
        <f>"13:52:53.708"</f>
        <v>13:52:53.708</v>
      </c>
      <c r="CJ288">
        <v>0</v>
      </c>
      <c r="CK288">
        <v>2</v>
      </c>
      <c r="CL288">
        <v>0</v>
      </c>
      <c r="CM288">
        <v>2</v>
      </c>
      <c r="CN288">
        <v>0</v>
      </c>
      <c r="CO288">
        <v>5</v>
      </c>
      <c r="CP288" t="s">
        <v>119</v>
      </c>
      <c r="CQ288">
        <v>209</v>
      </c>
      <c r="CR288">
        <v>3</v>
      </c>
      <c r="CW288">
        <v>7156332</v>
      </c>
      <c r="CY288">
        <v>1</v>
      </c>
      <c r="CZ288">
        <v>0</v>
      </c>
      <c r="DA288">
        <v>1</v>
      </c>
      <c r="DB288">
        <v>0</v>
      </c>
      <c r="DC288">
        <v>0</v>
      </c>
      <c r="DD288">
        <v>0</v>
      </c>
      <c r="DE288">
        <v>0</v>
      </c>
      <c r="DF288">
        <v>0</v>
      </c>
      <c r="DG288">
        <v>0</v>
      </c>
      <c r="DH288">
        <v>0</v>
      </c>
      <c r="DI288">
        <v>0</v>
      </c>
    </row>
    <row r="289" spans="1:113" x14ac:dyDescent="0.3">
      <c r="A289" t="str">
        <f>"09/28/2021 13:52:55.061"</f>
        <v>09/28/2021 13:52:55.061</v>
      </c>
      <c r="C289" t="str">
        <f t="shared" si="14"/>
        <v>FFDFD3C0</v>
      </c>
      <c r="D289" t="s">
        <v>113</v>
      </c>
      <c r="E289">
        <v>7</v>
      </c>
      <c r="H289">
        <v>170</v>
      </c>
      <c r="I289" t="s">
        <v>114</v>
      </c>
      <c r="J289" t="s">
        <v>115</v>
      </c>
      <c r="K289">
        <v>0</v>
      </c>
      <c r="L289">
        <v>3</v>
      </c>
      <c r="M289">
        <v>0</v>
      </c>
      <c r="N289">
        <v>2</v>
      </c>
      <c r="O289">
        <v>1</v>
      </c>
      <c r="P289">
        <v>0</v>
      </c>
      <c r="Q289">
        <v>0</v>
      </c>
      <c r="S289" t="str">
        <f>"13:52:54.727"</f>
        <v>13:52:54.727</v>
      </c>
      <c r="T289" t="str">
        <f>"13:52:54.227"</f>
        <v>13:52:54.227</v>
      </c>
      <c r="U289" t="str">
        <f t="shared" si="16"/>
        <v>A92BC1</v>
      </c>
      <c r="V289">
        <v>0</v>
      </c>
      <c r="W289">
        <v>0</v>
      </c>
      <c r="X289">
        <v>2</v>
      </c>
      <c r="Z289">
        <v>0</v>
      </c>
      <c r="AA289">
        <v>9</v>
      </c>
      <c r="AB289">
        <v>3</v>
      </c>
      <c r="AC289">
        <v>0</v>
      </c>
      <c r="AD289">
        <v>10</v>
      </c>
      <c r="AE289">
        <v>0</v>
      </c>
      <c r="AF289">
        <v>3</v>
      </c>
      <c r="AG289">
        <v>2</v>
      </c>
      <c r="AH289">
        <v>0</v>
      </c>
      <c r="AI289" t="s">
        <v>390</v>
      </c>
      <c r="AJ289">
        <v>45.695701</v>
      </c>
      <c r="AK289" t="s">
        <v>391</v>
      </c>
      <c r="AL289">
        <v>-89.440577000000005</v>
      </c>
      <c r="AM289">
        <v>100</v>
      </c>
      <c r="AN289">
        <v>6800</v>
      </c>
      <c r="AO289" t="s">
        <v>118</v>
      </c>
      <c r="AP289">
        <v>123</v>
      </c>
      <c r="AQ289">
        <v>98</v>
      </c>
      <c r="AR289">
        <v>1728</v>
      </c>
      <c r="AZ289">
        <v>1200</v>
      </c>
      <c r="BA289">
        <v>1</v>
      </c>
      <c r="BB289" t="str">
        <f t="shared" si="15"/>
        <v xml:space="preserve">N690LS  </v>
      </c>
      <c r="BC289">
        <v>1</v>
      </c>
      <c r="BE289">
        <v>0</v>
      </c>
      <c r="BF289">
        <v>0</v>
      </c>
      <c r="BG289">
        <v>0</v>
      </c>
      <c r="BH289">
        <v>6900</v>
      </c>
      <c r="BI289">
        <v>1</v>
      </c>
      <c r="BJ289">
        <v>1</v>
      </c>
      <c r="BK289">
        <v>1</v>
      </c>
      <c r="BL289">
        <v>0</v>
      </c>
      <c r="BO289">
        <v>0</v>
      </c>
      <c r="BP289">
        <v>0</v>
      </c>
      <c r="BW289" t="str">
        <f>"13:52:54.734"</f>
        <v>13:52:54.734</v>
      </c>
      <c r="CJ289">
        <v>0</v>
      </c>
      <c r="CK289">
        <v>2</v>
      </c>
      <c r="CL289">
        <v>0</v>
      </c>
      <c r="CM289">
        <v>2</v>
      </c>
      <c r="CN289">
        <v>0</v>
      </c>
      <c r="CO289">
        <v>7</v>
      </c>
      <c r="CP289" t="s">
        <v>119</v>
      </c>
      <c r="CQ289">
        <v>197</v>
      </c>
      <c r="CR289">
        <v>2</v>
      </c>
      <c r="CW289">
        <v>2220679</v>
      </c>
      <c r="CY289">
        <v>1</v>
      </c>
      <c r="CZ289">
        <v>0</v>
      </c>
      <c r="DA289">
        <v>0</v>
      </c>
      <c r="DB289">
        <v>0</v>
      </c>
      <c r="DC289">
        <v>0</v>
      </c>
      <c r="DD289">
        <v>0</v>
      </c>
      <c r="DE289">
        <v>0</v>
      </c>
      <c r="DF289">
        <v>0</v>
      </c>
      <c r="DG289">
        <v>0</v>
      </c>
      <c r="DH289">
        <v>0</v>
      </c>
      <c r="DI289">
        <v>0</v>
      </c>
    </row>
    <row r="290" spans="1:113" x14ac:dyDescent="0.3">
      <c r="A290" t="str">
        <f>"09/28/2021 13:52:55.076"</f>
        <v>09/28/2021 13:52:55.076</v>
      </c>
      <c r="C290" t="str">
        <f t="shared" si="14"/>
        <v>FFDFD3C0</v>
      </c>
      <c r="D290" t="s">
        <v>120</v>
      </c>
      <c r="E290">
        <v>12</v>
      </c>
      <c r="F290">
        <v>1012</v>
      </c>
      <c r="G290" t="s">
        <v>114</v>
      </c>
      <c r="J290" t="s">
        <v>121</v>
      </c>
      <c r="K290">
        <v>0</v>
      </c>
      <c r="L290">
        <v>3</v>
      </c>
      <c r="M290">
        <v>0</v>
      </c>
      <c r="N290">
        <v>2</v>
      </c>
      <c r="O290">
        <v>1</v>
      </c>
      <c r="P290">
        <v>0</v>
      </c>
      <c r="Q290">
        <v>0</v>
      </c>
      <c r="S290" t="str">
        <f>"13:52:54.727"</f>
        <v>13:52:54.727</v>
      </c>
      <c r="T290" t="str">
        <f>"13:52:54.227"</f>
        <v>13:52:54.227</v>
      </c>
      <c r="U290" t="str">
        <f t="shared" si="16"/>
        <v>A92BC1</v>
      </c>
      <c r="V290">
        <v>0</v>
      </c>
      <c r="W290">
        <v>0</v>
      </c>
      <c r="X290">
        <v>2</v>
      </c>
      <c r="Z290">
        <v>0</v>
      </c>
      <c r="AA290">
        <v>9</v>
      </c>
      <c r="AB290">
        <v>3</v>
      </c>
      <c r="AC290">
        <v>0</v>
      </c>
      <c r="AD290">
        <v>10</v>
      </c>
      <c r="AE290">
        <v>0</v>
      </c>
      <c r="AF290">
        <v>3</v>
      </c>
      <c r="AG290">
        <v>2</v>
      </c>
      <c r="AH290">
        <v>0</v>
      </c>
      <c r="AI290" t="s">
        <v>390</v>
      </c>
      <c r="AJ290">
        <v>45.695701</v>
      </c>
      <c r="AK290" t="s">
        <v>391</v>
      </c>
      <c r="AL290">
        <v>-89.440577000000005</v>
      </c>
      <c r="AM290">
        <v>100</v>
      </c>
      <c r="AN290">
        <v>6800</v>
      </c>
      <c r="AO290" t="s">
        <v>118</v>
      </c>
      <c r="AP290">
        <v>123</v>
      </c>
      <c r="AQ290">
        <v>98</v>
      </c>
      <c r="AR290">
        <v>1728</v>
      </c>
      <c r="AZ290">
        <v>1200</v>
      </c>
      <c r="BA290">
        <v>1</v>
      </c>
      <c r="BB290" t="str">
        <f t="shared" si="15"/>
        <v xml:space="preserve">N690LS  </v>
      </c>
      <c r="BC290">
        <v>1</v>
      </c>
      <c r="BE290">
        <v>0</v>
      </c>
      <c r="BF290">
        <v>0</v>
      </c>
      <c r="BG290">
        <v>0</v>
      </c>
      <c r="BH290">
        <v>6900</v>
      </c>
      <c r="BI290">
        <v>1</v>
      </c>
      <c r="BJ290">
        <v>1</v>
      </c>
      <c r="BK290">
        <v>1</v>
      </c>
      <c r="BL290">
        <v>0</v>
      </c>
      <c r="BO290">
        <v>0</v>
      </c>
      <c r="BP290">
        <v>0</v>
      </c>
      <c r="BW290" t="str">
        <f>"13:52:54.734"</f>
        <v>13:52:54.734</v>
      </c>
      <c r="CJ290">
        <v>0</v>
      </c>
      <c r="CK290">
        <v>2</v>
      </c>
      <c r="CL290">
        <v>0</v>
      </c>
      <c r="CM290">
        <v>2</v>
      </c>
      <c r="CN290">
        <v>0</v>
      </c>
      <c r="CO290">
        <v>7</v>
      </c>
      <c r="CP290" t="s">
        <v>119</v>
      </c>
      <c r="CQ290">
        <v>197</v>
      </c>
      <c r="CR290">
        <v>2</v>
      </c>
      <c r="CW290">
        <v>2220679</v>
      </c>
      <c r="CY290">
        <v>1</v>
      </c>
      <c r="CZ290">
        <v>0</v>
      </c>
      <c r="DA290">
        <v>1</v>
      </c>
      <c r="DB290">
        <v>0</v>
      </c>
      <c r="DC290">
        <v>0</v>
      </c>
      <c r="DD290">
        <v>0</v>
      </c>
      <c r="DE290">
        <v>0</v>
      </c>
      <c r="DF290">
        <v>0</v>
      </c>
      <c r="DG290">
        <v>0</v>
      </c>
      <c r="DH290">
        <v>0</v>
      </c>
      <c r="DI290">
        <v>0</v>
      </c>
    </row>
    <row r="291" spans="1:113" x14ac:dyDescent="0.3">
      <c r="A291" t="str">
        <f>"09/28/2021 13:52:55.748"</f>
        <v>09/28/2021 13:52:55.748</v>
      </c>
      <c r="C291" t="str">
        <f t="shared" si="14"/>
        <v>FFDFD3C0</v>
      </c>
      <c r="D291" t="s">
        <v>113</v>
      </c>
      <c r="E291">
        <v>7</v>
      </c>
      <c r="H291">
        <v>170</v>
      </c>
      <c r="I291" t="s">
        <v>114</v>
      </c>
      <c r="J291" t="s">
        <v>115</v>
      </c>
      <c r="K291">
        <v>0</v>
      </c>
      <c r="L291">
        <v>3</v>
      </c>
      <c r="M291">
        <v>0</v>
      </c>
      <c r="N291">
        <v>2</v>
      </c>
      <c r="O291">
        <v>1</v>
      </c>
      <c r="P291">
        <v>0</v>
      </c>
      <c r="Q291">
        <v>0</v>
      </c>
      <c r="S291" t="str">
        <f>"13:52:55.539"</f>
        <v>13:52:55.539</v>
      </c>
      <c r="T291" t="str">
        <f>"13:52:55.139"</f>
        <v>13:52:55.139</v>
      </c>
      <c r="U291" t="str">
        <f t="shared" si="16"/>
        <v>A92BC1</v>
      </c>
      <c r="V291">
        <v>0</v>
      </c>
      <c r="W291">
        <v>0</v>
      </c>
      <c r="X291">
        <v>2</v>
      </c>
      <c r="Z291">
        <v>0</v>
      </c>
      <c r="AA291">
        <v>9</v>
      </c>
      <c r="AB291">
        <v>3</v>
      </c>
      <c r="AC291">
        <v>0</v>
      </c>
      <c r="AD291">
        <v>10</v>
      </c>
      <c r="AE291">
        <v>0</v>
      </c>
      <c r="AF291">
        <v>3</v>
      </c>
      <c r="AG291">
        <v>2</v>
      </c>
      <c r="AH291">
        <v>0</v>
      </c>
      <c r="AI291" t="s">
        <v>392</v>
      </c>
      <c r="AJ291">
        <v>45.696064999999997</v>
      </c>
      <c r="AK291" t="s">
        <v>393</v>
      </c>
      <c r="AL291">
        <v>-89.439954999999998</v>
      </c>
      <c r="AM291">
        <v>100</v>
      </c>
      <c r="AN291">
        <v>6800</v>
      </c>
      <c r="AO291" t="s">
        <v>118</v>
      </c>
      <c r="AP291">
        <v>123</v>
      </c>
      <c r="AQ291">
        <v>98</v>
      </c>
      <c r="AR291">
        <v>1728</v>
      </c>
      <c r="AZ291">
        <v>1200</v>
      </c>
      <c r="BA291">
        <v>1</v>
      </c>
      <c r="BB291" t="str">
        <f t="shared" si="15"/>
        <v xml:space="preserve">N690LS  </v>
      </c>
      <c r="BC291">
        <v>1</v>
      </c>
      <c r="BE291">
        <v>0</v>
      </c>
      <c r="BF291">
        <v>0</v>
      </c>
      <c r="BG291">
        <v>0</v>
      </c>
      <c r="BH291">
        <v>6925</v>
      </c>
      <c r="BI291">
        <v>1</v>
      </c>
      <c r="BJ291">
        <v>1</v>
      </c>
      <c r="BK291">
        <v>1</v>
      </c>
      <c r="BL291">
        <v>0</v>
      </c>
      <c r="BO291">
        <v>0</v>
      </c>
      <c r="BP291">
        <v>0</v>
      </c>
      <c r="BW291" t="str">
        <f>"13:52:55.545"</f>
        <v>13:52:55.545</v>
      </c>
      <c r="CJ291">
        <v>0</v>
      </c>
      <c r="CK291">
        <v>2</v>
      </c>
      <c r="CL291">
        <v>0</v>
      </c>
      <c r="CM291">
        <v>2</v>
      </c>
      <c r="CN291">
        <v>0</v>
      </c>
      <c r="CO291">
        <v>5</v>
      </c>
      <c r="CP291" t="s">
        <v>119</v>
      </c>
      <c r="CQ291">
        <v>209</v>
      </c>
      <c r="CR291">
        <v>3</v>
      </c>
      <c r="CW291">
        <v>7157001</v>
      </c>
      <c r="CY291">
        <v>1</v>
      </c>
      <c r="CZ291">
        <v>0</v>
      </c>
      <c r="DA291">
        <v>0</v>
      </c>
      <c r="DB291">
        <v>0</v>
      </c>
      <c r="DC291">
        <v>0</v>
      </c>
      <c r="DD291">
        <v>0</v>
      </c>
      <c r="DE291">
        <v>0</v>
      </c>
      <c r="DF291">
        <v>0</v>
      </c>
      <c r="DG291">
        <v>0</v>
      </c>
      <c r="DH291">
        <v>0</v>
      </c>
      <c r="DI291">
        <v>0</v>
      </c>
    </row>
    <row r="292" spans="1:113" x14ac:dyDescent="0.3">
      <c r="A292" t="str">
        <f>"09/28/2021 13:52:55.748"</f>
        <v>09/28/2021 13:52:55.748</v>
      </c>
      <c r="C292" t="str">
        <f t="shared" si="14"/>
        <v>FFDFD3C0</v>
      </c>
      <c r="D292" t="s">
        <v>120</v>
      </c>
      <c r="E292">
        <v>12</v>
      </c>
      <c r="F292">
        <v>1012</v>
      </c>
      <c r="G292" t="s">
        <v>114</v>
      </c>
      <c r="J292" t="s">
        <v>121</v>
      </c>
      <c r="K292">
        <v>0</v>
      </c>
      <c r="L292">
        <v>3</v>
      </c>
      <c r="M292">
        <v>0</v>
      </c>
      <c r="N292">
        <v>2</v>
      </c>
      <c r="O292">
        <v>1</v>
      </c>
      <c r="P292">
        <v>0</v>
      </c>
      <c r="Q292">
        <v>0</v>
      </c>
      <c r="S292" t="str">
        <f>"13:52:55.539"</f>
        <v>13:52:55.539</v>
      </c>
      <c r="T292" t="str">
        <f>"13:52:55.139"</f>
        <v>13:52:55.139</v>
      </c>
      <c r="U292" t="str">
        <f t="shared" si="16"/>
        <v>A92BC1</v>
      </c>
      <c r="V292">
        <v>0</v>
      </c>
      <c r="W292">
        <v>0</v>
      </c>
      <c r="X292">
        <v>2</v>
      </c>
      <c r="Z292">
        <v>0</v>
      </c>
      <c r="AA292">
        <v>9</v>
      </c>
      <c r="AB292">
        <v>3</v>
      </c>
      <c r="AC292">
        <v>0</v>
      </c>
      <c r="AD292">
        <v>10</v>
      </c>
      <c r="AE292">
        <v>0</v>
      </c>
      <c r="AF292">
        <v>3</v>
      </c>
      <c r="AG292">
        <v>2</v>
      </c>
      <c r="AH292">
        <v>0</v>
      </c>
      <c r="AI292" t="s">
        <v>392</v>
      </c>
      <c r="AJ292">
        <v>45.696064999999997</v>
      </c>
      <c r="AK292" t="s">
        <v>393</v>
      </c>
      <c r="AL292">
        <v>-89.439954999999998</v>
      </c>
      <c r="AM292">
        <v>100</v>
      </c>
      <c r="AN292">
        <v>6800</v>
      </c>
      <c r="AO292" t="s">
        <v>118</v>
      </c>
      <c r="AP292">
        <v>123</v>
      </c>
      <c r="AQ292">
        <v>98</v>
      </c>
      <c r="AR292">
        <v>1728</v>
      </c>
      <c r="AZ292">
        <v>1200</v>
      </c>
      <c r="BA292">
        <v>1</v>
      </c>
      <c r="BB292" t="str">
        <f t="shared" si="15"/>
        <v xml:space="preserve">N690LS  </v>
      </c>
      <c r="BC292">
        <v>1</v>
      </c>
      <c r="BE292">
        <v>0</v>
      </c>
      <c r="BF292">
        <v>0</v>
      </c>
      <c r="BG292">
        <v>0</v>
      </c>
      <c r="BH292">
        <v>6925</v>
      </c>
      <c r="BI292">
        <v>1</v>
      </c>
      <c r="BJ292">
        <v>1</v>
      </c>
      <c r="BK292">
        <v>1</v>
      </c>
      <c r="BL292">
        <v>0</v>
      </c>
      <c r="BO292">
        <v>0</v>
      </c>
      <c r="BP292">
        <v>0</v>
      </c>
      <c r="BW292" t="str">
        <f>"13:52:55.545"</f>
        <v>13:52:55.545</v>
      </c>
      <c r="CJ292">
        <v>0</v>
      </c>
      <c r="CK292">
        <v>2</v>
      </c>
      <c r="CL292">
        <v>0</v>
      </c>
      <c r="CM292">
        <v>2</v>
      </c>
      <c r="CN292">
        <v>0</v>
      </c>
      <c r="CO292">
        <v>5</v>
      </c>
      <c r="CP292" t="s">
        <v>119</v>
      </c>
      <c r="CQ292">
        <v>209</v>
      </c>
      <c r="CR292">
        <v>3</v>
      </c>
      <c r="CW292">
        <v>7157001</v>
      </c>
      <c r="CY292">
        <v>1</v>
      </c>
      <c r="CZ292">
        <v>0</v>
      </c>
      <c r="DA292">
        <v>1</v>
      </c>
      <c r="DB292">
        <v>0</v>
      </c>
      <c r="DC292">
        <v>0</v>
      </c>
      <c r="DD292">
        <v>0</v>
      </c>
      <c r="DE292">
        <v>0</v>
      </c>
      <c r="DF292">
        <v>0</v>
      </c>
      <c r="DG292">
        <v>0</v>
      </c>
      <c r="DH292">
        <v>0</v>
      </c>
      <c r="DI292">
        <v>0</v>
      </c>
    </row>
    <row r="293" spans="1:113" x14ac:dyDescent="0.3">
      <c r="A293" t="str">
        <f>"09/28/2021 13:52:56.697"</f>
        <v>09/28/2021 13:52:56.697</v>
      </c>
      <c r="C293" t="str">
        <f t="shared" si="14"/>
        <v>FFDFD3C0</v>
      </c>
      <c r="D293" t="s">
        <v>120</v>
      </c>
      <c r="E293">
        <v>12</v>
      </c>
      <c r="F293">
        <v>1012</v>
      </c>
      <c r="G293" t="s">
        <v>114</v>
      </c>
      <c r="J293" t="s">
        <v>121</v>
      </c>
      <c r="K293">
        <v>0</v>
      </c>
      <c r="L293">
        <v>3</v>
      </c>
      <c r="M293">
        <v>0</v>
      </c>
      <c r="N293">
        <v>2</v>
      </c>
      <c r="O293">
        <v>1</v>
      </c>
      <c r="P293">
        <v>0</v>
      </c>
      <c r="Q293">
        <v>0</v>
      </c>
      <c r="S293" t="str">
        <f>"13:52:56.508"</f>
        <v>13:52:56.508</v>
      </c>
      <c r="T293" t="str">
        <f>"13:52:56.108"</f>
        <v>13:52:56.108</v>
      </c>
      <c r="U293" t="str">
        <f t="shared" si="16"/>
        <v>A92BC1</v>
      </c>
      <c r="V293">
        <v>0</v>
      </c>
      <c r="W293">
        <v>0</v>
      </c>
      <c r="X293">
        <v>2</v>
      </c>
      <c r="Z293">
        <v>0</v>
      </c>
      <c r="AA293">
        <v>9</v>
      </c>
      <c r="AB293">
        <v>3</v>
      </c>
      <c r="AC293">
        <v>0</v>
      </c>
      <c r="AD293">
        <v>10</v>
      </c>
      <c r="AE293">
        <v>0</v>
      </c>
      <c r="AF293">
        <v>3</v>
      </c>
      <c r="AG293">
        <v>2</v>
      </c>
      <c r="AH293">
        <v>0</v>
      </c>
      <c r="AI293" t="s">
        <v>394</v>
      </c>
      <c r="AJ293">
        <v>45.696472999999997</v>
      </c>
      <c r="AK293" t="s">
        <v>395</v>
      </c>
      <c r="AL293">
        <v>-89.439224999999993</v>
      </c>
      <c r="AM293">
        <v>100</v>
      </c>
      <c r="AN293">
        <v>6800</v>
      </c>
      <c r="AO293" t="s">
        <v>118</v>
      </c>
      <c r="AP293">
        <v>123</v>
      </c>
      <c r="AQ293">
        <v>98</v>
      </c>
      <c r="AR293">
        <v>1728</v>
      </c>
      <c r="AZ293">
        <v>1200</v>
      </c>
      <c r="BA293">
        <v>1</v>
      </c>
      <c r="BB293" t="str">
        <f t="shared" si="15"/>
        <v xml:space="preserve">N690LS  </v>
      </c>
      <c r="BC293">
        <v>1</v>
      </c>
      <c r="BE293">
        <v>0</v>
      </c>
      <c r="BF293">
        <v>0</v>
      </c>
      <c r="BG293">
        <v>0</v>
      </c>
      <c r="BH293">
        <v>6950</v>
      </c>
      <c r="BI293">
        <v>1</v>
      </c>
      <c r="BJ293">
        <v>1</v>
      </c>
      <c r="BK293">
        <v>1</v>
      </c>
      <c r="BL293">
        <v>0</v>
      </c>
      <c r="BO293">
        <v>0</v>
      </c>
      <c r="BP293">
        <v>0</v>
      </c>
      <c r="BW293" t="str">
        <f>"13:52:56.508"</f>
        <v>13:52:56.508</v>
      </c>
      <c r="CJ293">
        <v>0</v>
      </c>
      <c r="CK293">
        <v>2</v>
      </c>
      <c r="CL293">
        <v>0</v>
      </c>
      <c r="CM293">
        <v>2</v>
      </c>
      <c r="CN293">
        <v>0</v>
      </c>
      <c r="CO293">
        <v>6</v>
      </c>
      <c r="CP293" t="s">
        <v>119</v>
      </c>
      <c r="CQ293">
        <v>210</v>
      </c>
      <c r="CR293">
        <v>2</v>
      </c>
      <c r="CW293">
        <v>2171782</v>
      </c>
      <c r="CY293">
        <v>1</v>
      </c>
      <c r="CZ293">
        <v>0</v>
      </c>
      <c r="DA293">
        <v>0</v>
      </c>
      <c r="DB293">
        <v>0</v>
      </c>
      <c r="DC293">
        <v>0</v>
      </c>
      <c r="DD293">
        <v>0</v>
      </c>
      <c r="DE293">
        <v>0</v>
      </c>
      <c r="DF293">
        <v>0</v>
      </c>
      <c r="DG293">
        <v>0</v>
      </c>
      <c r="DH293">
        <v>0</v>
      </c>
      <c r="DI293">
        <v>0</v>
      </c>
    </row>
    <row r="294" spans="1:113" x14ac:dyDescent="0.3">
      <c r="A294" t="str">
        <f>"09/28/2021 13:52:56.744"</f>
        <v>09/28/2021 13:52:56.744</v>
      </c>
      <c r="C294" t="str">
        <f t="shared" si="14"/>
        <v>FFDFD3C0</v>
      </c>
      <c r="D294" t="s">
        <v>113</v>
      </c>
      <c r="E294">
        <v>7</v>
      </c>
      <c r="H294">
        <v>170</v>
      </c>
      <c r="I294" t="s">
        <v>114</v>
      </c>
      <c r="J294" t="s">
        <v>115</v>
      </c>
      <c r="K294">
        <v>0</v>
      </c>
      <c r="L294">
        <v>3</v>
      </c>
      <c r="M294">
        <v>0</v>
      </c>
      <c r="N294">
        <v>2</v>
      </c>
      <c r="O294">
        <v>1</v>
      </c>
      <c r="P294">
        <v>0</v>
      </c>
      <c r="Q294">
        <v>0</v>
      </c>
      <c r="S294" t="str">
        <f>"13:52:56.508"</f>
        <v>13:52:56.508</v>
      </c>
      <c r="T294" t="str">
        <f>"13:52:56.108"</f>
        <v>13:52:56.108</v>
      </c>
      <c r="U294" t="str">
        <f t="shared" si="16"/>
        <v>A92BC1</v>
      </c>
      <c r="V294">
        <v>0</v>
      </c>
      <c r="W294">
        <v>0</v>
      </c>
      <c r="X294">
        <v>2</v>
      </c>
      <c r="Z294">
        <v>0</v>
      </c>
      <c r="AA294">
        <v>9</v>
      </c>
      <c r="AB294">
        <v>3</v>
      </c>
      <c r="AC294">
        <v>0</v>
      </c>
      <c r="AD294">
        <v>10</v>
      </c>
      <c r="AE294">
        <v>0</v>
      </c>
      <c r="AF294">
        <v>3</v>
      </c>
      <c r="AG294">
        <v>2</v>
      </c>
      <c r="AH294">
        <v>0</v>
      </c>
      <c r="AI294" t="s">
        <v>394</v>
      </c>
      <c r="AJ294">
        <v>45.696472999999997</v>
      </c>
      <c r="AK294" t="s">
        <v>395</v>
      </c>
      <c r="AL294">
        <v>-89.439224999999993</v>
      </c>
      <c r="AM294">
        <v>100</v>
      </c>
      <c r="AN294">
        <v>6800</v>
      </c>
      <c r="AO294" t="s">
        <v>118</v>
      </c>
      <c r="AP294">
        <v>123</v>
      </c>
      <c r="AQ294">
        <v>98</v>
      </c>
      <c r="AR294">
        <v>1728</v>
      </c>
      <c r="AZ294">
        <v>1200</v>
      </c>
      <c r="BA294">
        <v>1</v>
      </c>
      <c r="BB294" t="str">
        <f t="shared" si="15"/>
        <v xml:space="preserve">N690LS  </v>
      </c>
      <c r="BC294">
        <v>1</v>
      </c>
      <c r="BE294">
        <v>0</v>
      </c>
      <c r="BF294">
        <v>0</v>
      </c>
      <c r="BG294">
        <v>0</v>
      </c>
      <c r="BH294">
        <v>6950</v>
      </c>
      <c r="BI294">
        <v>1</v>
      </c>
      <c r="BJ294">
        <v>1</v>
      </c>
      <c r="BK294">
        <v>1</v>
      </c>
      <c r="BL294">
        <v>0</v>
      </c>
      <c r="BO294">
        <v>0</v>
      </c>
      <c r="BP294">
        <v>0</v>
      </c>
      <c r="BW294" t="str">
        <f>"13:52:56.508"</f>
        <v>13:52:56.508</v>
      </c>
      <c r="CJ294">
        <v>0</v>
      </c>
      <c r="CK294">
        <v>2</v>
      </c>
      <c r="CL294">
        <v>0</v>
      </c>
      <c r="CM294">
        <v>2</v>
      </c>
      <c r="CN294">
        <v>0</v>
      </c>
      <c r="CO294">
        <v>6</v>
      </c>
      <c r="CP294" t="s">
        <v>119</v>
      </c>
      <c r="CQ294">
        <v>210</v>
      </c>
      <c r="CR294">
        <v>2</v>
      </c>
      <c r="CW294">
        <v>2171782</v>
      </c>
      <c r="CY294">
        <v>1</v>
      </c>
      <c r="CZ294">
        <v>0</v>
      </c>
      <c r="DA294">
        <v>1</v>
      </c>
      <c r="DB294">
        <v>0</v>
      </c>
      <c r="DC294">
        <v>0</v>
      </c>
      <c r="DD294">
        <v>0</v>
      </c>
      <c r="DE294">
        <v>0</v>
      </c>
      <c r="DF294">
        <v>0</v>
      </c>
      <c r="DG294">
        <v>0</v>
      </c>
      <c r="DH294">
        <v>0</v>
      </c>
      <c r="DI294">
        <v>0</v>
      </c>
    </row>
    <row r="295" spans="1:113" x14ac:dyDescent="0.3">
      <c r="A295" t="str">
        <f>"09/28/2021 13:52:57.853"</f>
        <v>09/28/2021 13:52:57.853</v>
      </c>
      <c r="C295" t="str">
        <f t="shared" ref="C295:C358" si="17">"FFDFD3C0"</f>
        <v>FFDFD3C0</v>
      </c>
      <c r="D295" t="s">
        <v>113</v>
      </c>
      <c r="E295">
        <v>7</v>
      </c>
      <c r="H295">
        <v>170</v>
      </c>
      <c r="I295" t="s">
        <v>114</v>
      </c>
      <c r="J295" t="s">
        <v>115</v>
      </c>
      <c r="K295">
        <v>0</v>
      </c>
      <c r="L295">
        <v>3</v>
      </c>
      <c r="M295">
        <v>0</v>
      </c>
      <c r="N295">
        <v>2</v>
      </c>
      <c r="O295">
        <v>1</v>
      </c>
      <c r="P295">
        <v>0</v>
      </c>
      <c r="Q295">
        <v>0</v>
      </c>
      <c r="S295" t="str">
        <f>"13:52:57.609"</f>
        <v>13:52:57.609</v>
      </c>
      <c r="T295" t="str">
        <f>"13:52:57.109"</f>
        <v>13:52:57.109</v>
      </c>
      <c r="U295" t="str">
        <f t="shared" si="16"/>
        <v>A92BC1</v>
      </c>
      <c r="V295">
        <v>0</v>
      </c>
      <c r="W295">
        <v>0</v>
      </c>
      <c r="X295">
        <v>2</v>
      </c>
      <c r="Z295">
        <v>0</v>
      </c>
      <c r="AA295">
        <v>9</v>
      </c>
      <c r="AB295">
        <v>3</v>
      </c>
      <c r="AC295">
        <v>0</v>
      </c>
      <c r="AD295">
        <v>10</v>
      </c>
      <c r="AE295">
        <v>0</v>
      </c>
      <c r="AF295">
        <v>3</v>
      </c>
      <c r="AG295">
        <v>2</v>
      </c>
      <c r="AH295">
        <v>0</v>
      </c>
      <c r="AI295" t="s">
        <v>396</v>
      </c>
      <c r="AJ295">
        <v>45.696987999999997</v>
      </c>
      <c r="AK295" t="s">
        <v>397</v>
      </c>
      <c r="AL295">
        <v>-89.438281000000003</v>
      </c>
      <c r="AM295">
        <v>100</v>
      </c>
      <c r="AN295">
        <v>6800</v>
      </c>
      <c r="AO295" t="s">
        <v>118</v>
      </c>
      <c r="AP295">
        <v>124</v>
      </c>
      <c r="AQ295">
        <v>99</v>
      </c>
      <c r="AR295">
        <v>1792</v>
      </c>
      <c r="AZ295">
        <v>1200</v>
      </c>
      <c r="BA295">
        <v>1</v>
      </c>
      <c r="BB295" t="str">
        <f t="shared" ref="BB295:BB358" si="18">"N690LS  "</f>
        <v xml:space="preserve">N690LS  </v>
      </c>
      <c r="BC295">
        <v>1</v>
      </c>
      <c r="BE295">
        <v>0</v>
      </c>
      <c r="BF295">
        <v>0</v>
      </c>
      <c r="BG295">
        <v>0</v>
      </c>
      <c r="BH295">
        <v>6975</v>
      </c>
      <c r="BI295">
        <v>1</v>
      </c>
      <c r="BJ295">
        <v>1</v>
      </c>
      <c r="BK295">
        <v>1</v>
      </c>
      <c r="BL295">
        <v>0</v>
      </c>
      <c r="BO295">
        <v>0</v>
      </c>
      <c r="BP295">
        <v>0</v>
      </c>
      <c r="BW295" t="str">
        <f>"13:52:57.611"</f>
        <v>13:52:57.611</v>
      </c>
      <c r="CJ295">
        <v>0</v>
      </c>
      <c r="CK295">
        <v>2</v>
      </c>
      <c r="CL295">
        <v>0</v>
      </c>
      <c r="CM295">
        <v>2</v>
      </c>
      <c r="CN295">
        <v>0</v>
      </c>
      <c r="CO295">
        <v>7</v>
      </c>
      <c r="CP295" t="s">
        <v>119</v>
      </c>
      <c r="CQ295">
        <v>197</v>
      </c>
      <c r="CR295">
        <v>2</v>
      </c>
      <c r="CW295">
        <v>2223170</v>
      </c>
      <c r="CY295">
        <v>1</v>
      </c>
      <c r="CZ295">
        <v>0</v>
      </c>
      <c r="DA295">
        <v>0</v>
      </c>
      <c r="DB295">
        <v>0</v>
      </c>
      <c r="DC295">
        <v>0</v>
      </c>
      <c r="DD295">
        <v>0</v>
      </c>
      <c r="DE295">
        <v>0</v>
      </c>
      <c r="DF295">
        <v>0</v>
      </c>
      <c r="DG295">
        <v>0</v>
      </c>
      <c r="DH295">
        <v>0</v>
      </c>
      <c r="DI295">
        <v>0</v>
      </c>
    </row>
    <row r="296" spans="1:113" x14ac:dyDescent="0.3">
      <c r="A296" t="str">
        <f>"09/28/2021 13:52:57.853"</f>
        <v>09/28/2021 13:52:57.853</v>
      </c>
      <c r="C296" t="str">
        <f t="shared" si="17"/>
        <v>FFDFD3C0</v>
      </c>
      <c r="D296" t="s">
        <v>120</v>
      </c>
      <c r="E296">
        <v>12</v>
      </c>
      <c r="F296">
        <v>1012</v>
      </c>
      <c r="G296" t="s">
        <v>114</v>
      </c>
      <c r="J296" t="s">
        <v>121</v>
      </c>
      <c r="K296">
        <v>0</v>
      </c>
      <c r="L296">
        <v>3</v>
      </c>
      <c r="M296">
        <v>0</v>
      </c>
      <c r="N296">
        <v>2</v>
      </c>
      <c r="O296">
        <v>1</v>
      </c>
      <c r="P296">
        <v>0</v>
      </c>
      <c r="Q296">
        <v>0</v>
      </c>
      <c r="S296" t="str">
        <f>"13:52:57.609"</f>
        <v>13:52:57.609</v>
      </c>
      <c r="T296" t="str">
        <f>"13:52:57.109"</f>
        <v>13:52:57.109</v>
      </c>
      <c r="U296" t="str">
        <f t="shared" si="16"/>
        <v>A92BC1</v>
      </c>
      <c r="V296">
        <v>0</v>
      </c>
      <c r="W296">
        <v>0</v>
      </c>
      <c r="X296">
        <v>2</v>
      </c>
      <c r="Z296">
        <v>0</v>
      </c>
      <c r="AA296">
        <v>9</v>
      </c>
      <c r="AB296">
        <v>3</v>
      </c>
      <c r="AC296">
        <v>0</v>
      </c>
      <c r="AD296">
        <v>10</v>
      </c>
      <c r="AE296">
        <v>0</v>
      </c>
      <c r="AF296">
        <v>3</v>
      </c>
      <c r="AG296">
        <v>2</v>
      </c>
      <c r="AH296">
        <v>0</v>
      </c>
      <c r="AI296" t="s">
        <v>396</v>
      </c>
      <c r="AJ296">
        <v>45.696987999999997</v>
      </c>
      <c r="AK296" t="s">
        <v>397</v>
      </c>
      <c r="AL296">
        <v>-89.438281000000003</v>
      </c>
      <c r="AM296">
        <v>100</v>
      </c>
      <c r="AN296">
        <v>6800</v>
      </c>
      <c r="AO296" t="s">
        <v>118</v>
      </c>
      <c r="AP296">
        <v>124</v>
      </c>
      <c r="AQ296">
        <v>99</v>
      </c>
      <c r="AR296">
        <v>1792</v>
      </c>
      <c r="AZ296">
        <v>1200</v>
      </c>
      <c r="BA296">
        <v>1</v>
      </c>
      <c r="BB296" t="str">
        <f t="shared" si="18"/>
        <v xml:space="preserve">N690LS  </v>
      </c>
      <c r="BC296">
        <v>1</v>
      </c>
      <c r="BE296">
        <v>0</v>
      </c>
      <c r="BF296">
        <v>0</v>
      </c>
      <c r="BG296">
        <v>0</v>
      </c>
      <c r="BH296">
        <v>6975</v>
      </c>
      <c r="BI296">
        <v>1</v>
      </c>
      <c r="BJ296">
        <v>1</v>
      </c>
      <c r="BK296">
        <v>1</v>
      </c>
      <c r="BL296">
        <v>0</v>
      </c>
      <c r="BO296">
        <v>0</v>
      </c>
      <c r="BP296">
        <v>0</v>
      </c>
      <c r="BW296" t="str">
        <f>"13:52:57.611"</f>
        <v>13:52:57.611</v>
      </c>
      <c r="CJ296">
        <v>0</v>
      </c>
      <c r="CK296">
        <v>2</v>
      </c>
      <c r="CL296">
        <v>0</v>
      </c>
      <c r="CM296">
        <v>2</v>
      </c>
      <c r="CN296">
        <v>0</v>
      </c>
      <c r="CO296">
        <v>7</v>
      </c>
      <c r="CP296" t="s">
        <v>119</v>
      </c>
      <c r="CQ296">
        <v>197</v>
      </c>
      <c r="CR296">
        <v>2</v>
      </c>
      <c r="CW296">
        <v>2223170</v>
      </c>
      <c r="CY296">
        <v>1</v>
      </c>
      <c r="CZ296">
        <v>0</v>
      </c>
      <c r="DA296">
        <v>1</v>
      </c>
      <c r="DB296">
        <v>0</v>
      </c>
      <c r="DC296">
        <v>0</v>
      </c>
      <c r="DD296">
        <v>0</v>
      </c>
      <c r="DE296">
        <v>0</v>
      </c>
      <c r="DF296">
        <v>0</v>
      </c>
      <c r="DG296">
        <v>0</v>
      </c>
      <c r="DH296">
        <v>0</v>
      </c>
      <c r="DI296">
        <v>0</v>
      </c>
    </row>
    <row r="297" spans="1:113" x14ac:dyDescent="0.3">
      <c r="A297" t="str">
        <f>"09/28/2021 13:52:58.761"</f>
        <v>09/28/2021 13:52:58.761</v>
      </c>
      <c r="C297" t="str">
        <f t="shared" si="17"/>
        <v>FFDFD3C0</v>
      </c>
      <c r="D297" t="s">
        <v>120</v>
      </c>
      <c r="E297">
        <v>12</v>
      </c>
      <c r="F297">
        <v>1012</v>
      </c>
      <c r="G297" t="s">
        <v>114</v>
      </c>
      <c r="J297" t="s">
        <v>121</v>
      </c>
      <c r="K297">
        <v>0</v>
      </c>
      <c r="L297">
        <v>3</v>
      </c>
      <c r="M297">
        <v>0</v>
      </c>
      <c r="N297">
        <v>2</v>
      </c>
      <c r="O297">
        <v>1</v>
      </c>
      <c r="P297">
        <v>0</v>
      </c>
      <c r="Q297">
        <v>0</v>
      </c>
      <c r="S297" t="str">
        <f>"13:52:58.492"</f>
        <v>13:52:58.492</v>
      </c>
      <c r="T297" t="str">
        <f>"13:52:58.092"</f>
        <v>13:52:58.092</v>
      </c>
      <c r="U297" t="str">
        <f t="shared" si="16"/>
        <v>A92BC1</v>
      </c>
      <c r="V297">
        <v>0</v>
      </c>
      <c r="W297">
        <v>0</v>
      </c>
      <c r="X297">
        <v>2</v>
      </c>
      <c r="Z297">
        <v>0</v>
      </c>
      <c r="AA297">
        <v>9</v>
      </c>
      <c r="AB297">
        <v>3</v>
      </c>
      <c r="AC297">
        <v>0</v>
      </c>
      <c r="AD297">
        <v>10</v>
      </c>
      <c r="AE297">
        <v>0</v>
      </c>
      <c r="AF297">
        <v>3</v>
      </c>
      <c r="AG297">
        <v>2</v>
      </c>
      <c r="AH297">
        <v>0</v>
      </c>
      <c r="AI297" t="s">
        <v>398</v>
      </c>
      <c r="AJ297">
        <v>45.697395999999998</v>
      </c>
      <c r="AK297" t="s">
        <v>399</v>
      </c>
      <c r="AL297">
        <v>-89.437573</v>
      </c>
      <c r="AM297">
        <v>100</v>
      </c>
      <c r="AN297">
        <v>6900</v>
      </c>
      <c r="AO297" t="s">
        <v>118</v>
      </c>
      <c r="AP297">
        <v>124</v>
      </c>
      <c r="AQ297">
        <v>99</v>
      </c>
      <c r="AR297">
        <v>1792</v>
      </c>
      <c r="AZ297">
        <v>1200</v>
      </c>
      <c r="BA297">
        <v>1</v>
      </c>
      <c r="BB297" t="str">
        <f t="shared" si="18"/>
        <v xml:space="preserve">N690LS  </v>
      </c>
      <c r="BC297">
        <v>1</v>
      </c>
      <c r="BE297">
        <v>0</v>
      </c>
      <c r="BF297">
        <v>0</v>
      </c>
      <c r="BG297">
        <v>0</v>
      </c>
      <c r="BH297">
        <v>7000</v>
      </c>
      <c r="BI297">
        <v>1</v>
      </c>
      <c r="BJ297">
        <v>1</v>
      </c>
      <c r="BK297">
        <v>1</v>
      </c>
      <c r="BL297">
        <v>0</v>
      </c>
      <c r="BO297">
        <v>0</v>
      </c>
      <c r="BP297">
        <v>0</v>
      </c>
      <c r="BW297" t="str">
        <f>"13:52:58.493"</f>
        <v>13:52:58.493</v>
      </c>
      <c r="CJ297">
        <v>0</v>
      </c>
      <c r="CK297">
        <v>2</v>
      </c>
      <c r="CL297">
        <v>0</v>
      </c>
      <c r="CM297">
        <v>2</v>
      </c>
      <c r="CN297">
        <v>0</v>
      </c>
      <c r="CO297">
        <v>6</v>
      </c>
      <c r="CP297" t="s">
        <v>119</v>
      </c>
      <c r="CQ297">
        <v>210</v>
      </c>
      <c r="CR297">
        <v>2</v>
      </c>
      <c r="CW297">
        <v>2172898</v>
      </c>
      <c r="CY297">
        <v>1</v>
      </c>
      <c r="CZ297">
        <v>0</v>
      </c>
      <c r="DA297">
        <v>0</v>
      </c>
      <c r="DB297">
        <v>0</v>
      </c>
      <c r="DC297">
        <v>0</v>
      </c>
      <c r="DD297">
        <v>0</v>
      </c>
      <c r="DE297">
        <v>0</v>
      </c>
      <c r="DF297">
        <v>0</v>
      </c>
      <c r="DG297">
        <v>0</v>
      </c>
      <c r="DH297">
        <v>0</v>
      </c>
      <c r="DI297">
        <v>0</v>
      </c>
    </row>
    <row r="298" spans="1:113" x14ac:dyDescent="0.3">
      <c r="A298" t="str">
        <f>"09/28/2021 13:52:58.761"</f>
        <v>09/28/2021 13:52:58.761</v>
      </c>
      <c r="C298" t="str">
        <f t="shared" si="17"/>
        <v>FFDFD3C0</v>
      </c>
      <c r="D298" t="s">
        <v>113</v>
      </c>
      <c r="E298">
        <v>7</v>
      </c>
      <c r="H298">
        <v>170</v>
      </c>
      <c r="I298" t="s">
        <v>114</v>
      </c>
      <c r="J298" t="s">
        <v>115</v>
      </c>
      <c r="K298">
        <v>0</v>
      </c>
      <c r="L298">
        <v>3</v>
      </c>
      <c r="M298">
        <v>0</v>
      </c>
      <c r="N298">
        <v>2</v>
      </c>
      <c r="O298">
        <v>1</v>
      </c>
      <c r="P298">
        <v>0</v>
      </c>
      <c r="Q298">
        <v>0</v>
      </c>
      <c r="S298" t="str">
        <f>"13:52:58.492"</f>
        <v>13:52:58.492</v>
      </c>
      <c r="T298" t="str">
        <f>"13:52:58.092"</f>
        <v>13:52:58.092</v>
      </c>
      <c r="U298" t="str">
        <f t="shared" si="16"/>
        <v>A92BC1</v>
      </c>
      <c r="V298">
        <v>0</v>
      </c>
      <c r="W298">
        <v>0</v>
      </c>
      <c r="X298">
        <v>2</v>
      </c>
      <c r="Z298">
        <v>0</v>
      </c>
      <c r="AA298">
        <v>9</v>
      </c>
      <c r="AB298">
        <v>3</v>
      </c>
      <c r="AC298">
        <v>0</v>
      </c>
      <c r="AD298">
        <v>10</v>
      </c>
      <c r="AE298">
        <v>0</v>
      </c>
      <c r="AF298">
        <v>3</v>
      </c>
      <c r="AG298">
        <v>2</v>
      </c>
      <c r="AH298">
        <v>0</v>
      </c>
      <c r="AI298" t="s">
        <v>398</v>
      </c>
      <c r="AJ298">
        <v>45.697395999999998</v>
      </c>
      <c r="AK298" t="s">
        <v>399</v>
      </c>
      <c r="AL298">
        <v>-89.437573</v>
      </c>
      <c r="AM298">
        <v>100</v>
      </c>
      <c r="AN298">
        <v>6900</v>
      </c>
      <c r="AO298" t="s">
        <v>118</v>
      </c>
      <c r="AP298">
        <v>124</v>
      </c>
      <c r="AQ298">
        <v>99</v>
      </c>
      <c r="AR298">
        <v>1792</v>
      </c>
      <c r="AZ298">
        <v>1200</v>
      </c>
      <c r="BA298">
        <v>1</v>
      </c>
      <c r="BB298" t="str">
        <f t="shared" si="18"/>
        <v xml:space="preserve">N690LS  </v>
      </c>
      <c r="BC298">
        <v>1</v>
      </c>
      <c r="BE298">
        <v>0</v>
      </c>
      <c r="BF298">
        <v>0</v>
      </c>
      <c r="BG298">
        <v>0</v>
      </c>
      <c r="BH298">
        <v>7000</v>
      </c>
      <c r="BI298">
        <v>1</v>
      </c>
      <c r="BJ298">
        <v>1</v>
      </c>
      <c r="BK298">
        <v>1</v>
      </c>
      <c r="BL298">
        <v>0</v>
      </c>
      <c r="BO298">
        <v>0</v>
      </c>
      <c r="BP298">
        <v>0</v>
      </c>
      <c r="BW298" t="str">
        <f>"13:52:58.493"</f>
        <v>13:52:58.493</v>
      </c>
      <c r="CJ298">
        <v>0</v>
      </c>
      <c r="CK298">
        <v>2</v>
      </c>
      <c r="CL298">
        <v>0</v>
      </c>
      <c r="CM298">
        <v>2</v>
      </c>
      <c r="CN298">
        <v>0</v>
      </c>
      <c r="CO298">
        <v>6</v>
      </c>
      <c r="CP298" t="s">
        <v>119</v>
      </c>
      <c r="CQ298">
        <v>210</v>
      </c>
      <c r="CR298">
        <v>2</v>
      </c>
      <c r="CW298">
        <v>2172898</v>
      </c>
      <c r="CY298">
        <v>1</v>
      </c>
      <c r="CZ298">
        <v>0</v>
      </c>
      <c r="DA298">
        <v>1</v>
      </c>
      <c r="DB298">
        <v>0</v>
      </c>
      <c r="DC298">
        <v>0</v>
      </c>
      <c r="DD298">
        <v>0</v>
      </c>
      <c r="DE298">
        <v>0</v>
      </c>
      <c r="DF298">
        <v>0</v>
      </c>
      <c r="DG298">
        <v>0</v>
      </c>
      <c r="DH298">
        <v>0</v>
      </c>
      <c r="DI298">
        <v>0</v>
      </c>
    </row>
    <row r="299" spans="1:113" x14ac:dyDescent="0.3">
      <c r="A299" t="str">
        <f>"09/28/2021 13:52:59.636"</f>
        <v>09/28/2021 13:52:59.636</v>
      </c>
      <c r="C299" t="str">
        <f t="shared" si="17"/>
        <v>FFDFD3C0</v>
      </c>
      <c r="D299" t="s">
        <v>120</v>
      </c>
      <c r="E299">
        <v>12</v>
      </c>
      <c r="F299">
        <v>1012</v>
      </c>
      <c r="G299" t="s">
        <v>114</v>
      </c>
      <c r="J299" t="s">
        <v>121</v>
      </c>
      <c r="K299">
        <v>0</v>
      </c>
      <c r="L299">
        <v>3</v>
      </c>
      <c r="M299">
        <v>0</v>
      </c>
      <c r="N299">
        <v>2</v>
      </c>
      <c r="O299">
        <v>1</v>
      </c>
      <c r="P299">
        <v>0</v>
      </c>
      <c r="Q299">
        <v>0</v>
      </c>
      <c r="S299" t="str">
        <f>"13:52:59.398"</f>
        <v>13:52:59.398</v>
      </c>
      <c r="T299" t="str">
        <f>"13:52:58.998"</f>
        <v>13:52:58.998</v>
      </c>
      <c r="U299" t="str">
        <f t="shared" si="16"/>
        <v>A92BC1</v>
      </c>
      <c r="V299">
        <v>0</v>
      </c>
      <c r="W299">
        <v>0</v>
      </c>
      <c r="X299">
        <v>2</v>
      </c>
      <c r="Z299">
        <v>0</v>
      </c>
      <c r="AA299">
        <v>9</v>
      </c>
      <c r="AB299">
        <v>3</v>
      </c>
      <c r="AC299">
        <v>0</v>
      </c>
      <c r="AD299">
        <v>10</v>
      </c>
      <c r="AE299">
        <v>0</v>
      </c>
      <c r="AF299">
        <v>3</v>
      </c>
      <c r="AG299">
        <v>2</v>
      </c>
      <c r="AH299">
        <v>0</v>
      </c>
      <c r="AI299" t="s">
        <v>400</v>
      </c>
      <c r="AJ299">
        <v>45.697825000000002</v>
      </c>
      <c r="AK299" t="s">
        <v>401</v>
      </c>
      <c r="AL299">
        <v>-89.436822000000006</v>
      </c>
      <c r="AM299">
        <v>100</v>
      </c>
      <c r="AN299">
        <v>6900</v>
      </c>
      <c r="AO299" t="s">
        <v>118</v>
      </c>
      <c r="AP299">
        <v>124</v>
      </c>
      <c r="AQ299">
        <v>99</v>
      </c>
      <c r="AR299">
        <v>1792</v>
      </c>
      <c r="AZ299">
        <v>1200</v>
      </c>
      <c r="BA299">
        <v>1</v>
      </c>
      <c r="BB299" t="str">
        <f t="shared" si="18"/>
        <v xml:space="preserve">N690LS  </v>
      </c>
      <c r="BC299">
        <v>1</v>
      </c>
      <c r="BE299">
        <v>0</v>
      </c>
      <c r="BF299">
        <v>0</v>
      </c>
      <c r="BG299">
        <v>0</v>
      </c>
      <c r="BH299">
        <v>7025</v>
      </c>
      <c r="BI299">
        <v>1</v>
      </c>
      <c r="BJ299">
        <v>1</v>
      </c>
      <c r="BK299">
        <v>1</v>
      </c>
      <c r="BL299">
        <v>0</v>
      </c>
      <c r="BO299">
        <v>0</v>
      </c>
      <c r="BP299">
        <v>0</v>
      </c>
      <c r="BW299" t="str">
        <f>"13:52:59.400"</f>
        <v>13:52:59.400</v>
      </c>
      <c r="CJ299">
        <v>0</v>
      </c>
      <c r="CK299">
        <v>2</v>
      </c>
      <c r="CL299">
        <v>0</v>
      </c>
      <c r="CM299">
        <v>2</v>
      </c>
      <c r="CN299">
        <v>0</v>
      </c>
      <c r="CO299">
        <v>6</v>
      </c>
      <c r="CP299" t="s">
        <v>119</v>
      </c>
      <c r="CQ299">
        <v>209</v>
      </c>
      <c r="CR299">
        <v>3</v>
      </c>
      <c r="CW299">
        <v>7158260</v>
      </c>
      <c r="CY299">
        <v>1</v>
      </c>
      <c r="CZ299">
        <v>0</v>
      </c>
      <c r="DA299">
        <v>0</v>
      </c>
      <c r="DB299">
        <v>0</v>
      </c>
      <c r="DC299">
        <v>0</v>
      </c>
      <c r="DD299">
        <v>0</v>
      </c>
      <c r="DE299">
        <v>0</v>
      </c>
      <c r="DF299">
        <v>0</v>
      </c>
      <c r="DG299">
        <v>0</v>
      </c>
      <c r="DH299">
        <v>0</v>
      </c>
      <c r="DI299">
        <v>0</v>
      </c>
    </row>
    <row r="300" spans="1:113" x14ac:dyDescent="0.3">
      <c r="A300" t="str">
        <f>"09/28/2021 13:52:59.636"</f>
        <v>09/28/2021 13:52:59.636</v>
      </c>
      <c r="C300" t="str">
        <f t="shared" si="17"/>
        <v>FFDFD3C0</v>
      </c>
      <c r="D300" t="s">
        <v>113</v>
      </c>
      <c r="E300">
        <v>7</v>
      </c>
      <c r="H300">
        <v>170</v>
      </c>
      <c r="I300" t="s">
        <v>114</v>
      </c>
      <c r="J300" t="s">
        <v>115</v>
      </c>
      <c r="K300">
        <v>0</v>
      </c>
      <c r="L300">
        <v>3</v>
      </c>
      <c r="M300">
        <v>0</v>
      </c>
      <c r="N300">
        <v>2</v>
      </c>
      <c r="O300">
        <v>1</v>
      </c>
      <c r="P300">
        <v>0</v>
      </c>
      <c r="Q300">
        <v>0</v>
      </c>
      <c r="S300" t="str">
        <f>"13:52:59.398"</f>
        <v>13:52:59.398</v>
      </c>
      <c r="T300" t="str">
        <f>"13:52:58.998"</f>
        <v>13:52:58.998</v>
      </c>
      <c r="U300" t="str">
        <f t="shared" si="16"/>
        <v>A92BC1</v>
      </c>
      <c r="V300">
        <v>0</v>
      </c>
      <c r="W300">
        <v>0</v>
      </c>
      <c r="X300">
        <v>2</v>
      </c>
      <c r="Z300">
        <v>0</v>
      </c>
      <c r="AA300">
        <v>9</v>
      </c>
      <c r="AB300">
        <v>3</v>
      </c>
      <c r="AC300">
        <v>0</v>
      </c>
      <c r="AD300">
        <v>10</v>
      </c>
      <c r="AE300">
        <v>0</v>
      </c>
      <c r="AF300">
        <v>3</v>
      </c>
      <c r="AG300">
        <v>2</v>
      </c>
      <c r="AH300">
        <v>0</v>
      </c>
      <c r="AI300" t="s">
        <v>400</v>
      </c>
      <c r="AJ300">
        <v>45.697825000000002</v>
      </c>
      <c r="AK300" t="s">
        <v>401</v>
      </c>
      <c r="AL300">
        <v>-89.436822000000006</v>
      </c>
      <c r="AM300">
        <v>100</v>
      </c>
      <c r="AN300">
        <v>6900</v>
      </c>
      <c r="AO300" t="s">
        <v>118</v>
      </c>
      <c r="AP300">
        <v>124</v>
      </c>
      <c r="AQ300">
        <v>99</v>
      </c>
      <c r="AR300">
        <v>1792</v>
      </c>
      <c r="AZ300">
        <v>1200</v>
      </c>
      <c r="BA300">
        <v>1</v>
      </c>
      <c r="BB300" t="str">
        <f t="shared" si="18"/>
        <v xml:space="preserve">N690LS  </v>
      </c>
      <c r="BC300">
        <v>1</v>
      </c>
      <c r="BE300">
        <v>0</v>
      </c>
      <c r="BF300">
        <v>0</v>
      </c>
      <c r="BG300">
        <v>0</v>
      </c>
      <c r="BH300">
        <v>7025</v>
      </c>
      <c r="BI300">
        <v>1</v>
      </c>
      <c r="BJ300">
        <v>1</v>
      </c>
      <c r="BK300">
        <v>1</v>
      </c>
      <c r="BL300">
        <v>0</v>
      </c>
      <c r="BO300">
        <v>0</v>
      </c>
      <c r="BP300">
        <v>0</v>
      </c>
      <c r="BW300" t="str">
        <f>"13:52:59.400"</f>
        <v>13:52:59.400</v>
      </c>
      <c r="CJ300">
        <v>0</v>
      </c>
      <c r="CK300">
        <v>2</v>
      </c>
      <c r="CL300">
        <v>0</v>
      </c>
      <c r="CM300">
        <v>2</v>
      </c>
      <c r="CN300">
        <v>0</v>
      </c>
      <c r="CO300">
        <v>6</v>
      </c>
      <c r="CP300" t="s">
        <v>119</v>
      </c>
      <c r="CQ300">
        <v>209</v>
      </c>
      <c r="CR300">
        <v>3</v>
      </c>
      <c r="CW300">
        <v>7158260</v>
      </c>
      <c r="CY300">
        <v>1</v>
      </c>
      <c r="CZ300">
        <v>0</v>
      </c>
      <c r="DA300">
        <v>1</v>
      </c>
      <c r="DB300">
        <v>0</v>
      </c>
      <c r="DC300">
        <v>0</v>
      </c>
      <c r="DD300">
        <v>0</v>
      </c>
      <c r="DE300">
        <v>0</v>
      </c>
      <c r="DF300">
        <v>0</v>
      </c>
      <c r="DG300">
        <v>0</v>
      </c>
      <c r="DH300">
        <v>0</v>
      </c>
      <c r="DI300">
        <v>0</v>
      </c>
    </row>
    <row r="301" spans="1:113" x14ac:dyDescent="0.3">
      <c r="A301" t="str">
        <f>"09/28/2021 13:53:00.542"</f>
        <v>09/28/2021 13:53:00.542</v>
      </c>
      <c r="C301" t="str">
        <f t="shared" si="17"/>
        <v>FFDFD3C0</v>
      </c>
      <c r="D301" t="s">
        <v>120</v>
      </c>
      <c r="E301">
        <v>12</v>
      </c>
      <c r="F301">
        <v>1012</v>
      </c>
      <c r="G301" t="s">
        <v>114</v>
      </c>
      <c r="J301" t="s">
        <v>121</v>
      </c>
      <c r="K301">
        <v>0</v>
      </c>
      <c r="L301">
        <v>3</v>
      </c>
      <c r="M301">
        <v>0</v>
      </c>
      <c r="N301">
        <v>2</v>
      </c>
      <c r="O301">
        <v>1</v>
      </c>
      <c r="P301">
        <v>0</v>
      </c>
      <c r="Q301">
        <v>0</v>
      </c>
      <c r="S301" t="str">
        <f>"13:53:00.305"</f>
        <v>13:53:00.305</v>
      </c>
      <c r="T301" t="str">
        <f>"13:52:59.905"</f>
        <v>13:52:59.905</v>
      </c>
      <c r="U301" t="str">
        <f t="shared" si="16"/>
        <v>A92BC1</v>
      </c>
      <c r="V301">
        <v>0</v>
      </c>
      <c r="W301">
        <v>0</v>
      </c>
      <c r="X301">
        <v>2</v>
      </c>
      <c r="Z301">
        <v>0</v>
      </c>
      <c r="AA301">
        <v>9</v>
      </c>
      <c r="AB301">
        <v>3</v>
      </c>
      <c r="AC301">
        <v>0</v>
      </c>
      <c r="AD301">
        <v>10</v>
      </c>
      <c r="AE301">
        <v>0</v>
      </c>
      <c r="AF301">
        <v>3</v>
      </c>
      <c r="AG301">
        <v>2</v>
      </c>
      <c r="AH301">
        <v>0</v>
      </c>
      <c r="AI301" t="s">
        <v>402</v>
      </c>
      <c r="AJ301">
        <v>45.698233000000002</v>
      </c>
      <c r="AK301" t="s">
        <v>403</v>
      </c>
      <c r="AL301">
        <v>-89.436048999999997</v>
      </c>
      <c r="AM301">
        <v>100</v>
      </c>
      <c r="AN301">
        <v>6900</v>
      </c>
      <c r="AO301" t="s">
        <v>118</v>
      </c>
      <c r="AP301">
        <v>125</v>
      </c>
      <c r="AQ301">
        <v>99</v>
      </c>
      <c r="AR301">
        <v>1792</v>
      </c>
      <c r="AZ301">
        <v>1200</v>
      </c>
      <c r="BA301">
        <v>1</v>
      </c>
      <c r="BB301" t="str">
        <f t="shared" si="18"/>
        <v xml:space="preserve">N690LS  </v>
      </c>
      <c r="BC301">
        <v>1</v>
      </c>
      <c r="BE301">
        <v>0</v>
      </c>
      <c r="BF301">
        <v>0</v>
      </c>
      <c r="BG301">
        <v>0</v>
      </c>
      <c r="BH301">
        <v>7075</v>
      </c>
      <c r="BI301">
        <v>1</v>
      </c>
      <c r="BJ301">
        <v>1</v>
      </c>
      <c r="BK301">
        <v>1</v>
      </c>
      <c r="BL301">
        <v>0</v>
      </c>
      <c r="BO301">
        <v>0</v>
      </c>
      <c r="BP301">
        <v>0</v>
      </c>
      <c r="BW301" t="str">
        <f>"13:53:00.311"</f>
        <v>13:53:00.311</v>
      </c>
      <c r="CJ301">
        <v>0</v>
      </c>
      <c r="CK301">
        <v>2</v>
      </c>
      <c r="CL301">
        <v>0</v>
      </c>
      <c r="CM301">
        <v>2</v>
      </c>
      <c r="CN301">
        <v>0</v>
      </c>
      <c r="CO301">
        <v>7</v>
      </c>
      <c r="CP301" t="s">
        <v>119</v>
      </c>
      <c r="CQ301">
        <v>197</v>
      </c>
      <c r="CR301">
        <v>1</v>
      </c>
      <c r="CW301">
        <v>7123298</v>
      </c>
      <c r="CY301">
        <v>1</v>
      </c>
      <c r="CZ301">
        <v>0</v>
      </c>
      <c r="DA301">
        <v>0</v>
      </c>
      <c r="DB301">
        <v>0</v>
      </c>
      <c r="DC301">
        <v>0</v>
      </c>
      <c r="DD301">
        <v>0</v>
      </c>
      <c r="DE301">
        <v>0</v>
      </c>
      <c r="DF301">
        <v>0</v>
      </c>
      <c r="DG301">
        <v>0</v>
      </c>
      <c r="DH301">
        <v>0</v>
      </c>
      <c r="DI301">
        <v>0</v>
      </c>
    </row>
    <row r="302" spans="1:113" x14ac:dyDescent="0.3">
      <c r="A302" t="str">
        <f>"09/28/2021 13:53:00.542"</f>
        <v>09/28/2021 13:53:00.542</v>
      </c>
      <c r="C302" t="str">
        <f t="shared" si="17"/>
        <v>FFDFD3C0</v>
      </c>
      <c r="D302" t="s">
        <v>113</v>
      </c>
      <c r="E302">
        <v>7</v>
      </c>
      <c r="H302">
        <v>170</v>
      </c>
      <c r="I302" t="s">
        <v>114</v>
      </c>
      <c r="J302" t="s">
        <v>115</v>
      </c>
      <c r="K302">
        <v>0</v>
      </c>
      <c r="L302">
        <v>3</v>
      </c>
      <c r="M302">
        <v>0</v>
      </c>
      <c r="N302">
        <v>2</v>
      </c>
      <c r="O302">
        <v>1</v>
      </c>
      <c r="P302">
        <v>0</v>
      </c>
      <c r="Q302">
        <v>0</v>
      </c>
      <c r="S302" t="str">
        <f>"13:53:00.305"</f>
        <v>13:53:00.305</v>
      </c>
      <c r="T302" t="str">
        <f>"13:52:59.905"</f>
        <v>13:52:59.905</v>
      </c>
      <c r="U302" t="str">
        <f t="shared" si="16"/>
        <v>A92BC1</v>
      </c>
      <c r="V302">
        <v>0</v>
      </c>
      <c r="W302">
        <v>0</v>
      </c>
      <c r="X302">
        <v>2</v>
      </c>
      <c r="Z302">
        <v>0</v>
      </c>
      <c r="AA302">
        <v>9</v>
      </c>
      <c r="AB302">
        <v>3</v>
      </c>
      <c r="AC302">
        <v>0</v>
      </c>
      <c r="AD302">
        <v>10</v>
      </c>
      <c r="AE302">
        <v>0</v>
      </c>
      <c r="AF302">
        <v>3</v>
      </c>
      <c r="AG302">
        <v>2</v>
      </c>
      <c r="AH302">
        <v>0</v>
      </c>
      <c r="AI302" t="s">
        <v>402</v>
      </c>
      <c r="AJ302">
        <v>45.698233000000002</v>
      </c>
      <c r="AK302" t="s">
        <v>403</v>
      </c>
      <c r="AL302">
        <v>-89.436048999999997</v>
      </c>
      <c r="AM302">
        <v>100</v>
      </c>
      <c r="AN302">
        <v>6900</v>
      </c>
      <c r="AO302" t="s">
        <v>118</v>
      </c>
      <c r="AP302">
        <v>125</v>
      </c>
      <c r="AQ302">
        <v>99</v>
      </c>
      <c r="AR302">
        <v>1792</v>
      </c>
      <c r="AZ302">
        <v>1200</v>
      </c>
      <c r="BA302">
        <v>1</v>
      </c>
      <c r="BB302" t="str">
        <f t="shared" si="18"/>
        <v xml:space="preserve">N690LS  </v>
      </c>
      <c r="BC302">
        <v>1</v>
      </c>
      <c r="BE302">
        <v>0</v>
      </c>
      <c r="BF302">
        <v>0</v>
      </c>
      <c r="BG302">
        <v>0</v>
      </c>
      <c r="BH302">
        <v>7075</v>
      </c>
      <c r="BI302">
        <v>1</v>
      </c>
      <c r="BJ302">
        <v>1</v>
      </c>
      <c r="BK302">
        <v>1</v>
      </c>
      <c r="BL302">
        <v>0</v>
      </c>
      <c r="BO302">
        <v>0</v>
      </c>
      <c r="BP302">
        <v>0</v>
      </c>
      <c r="BW302" t="str">
        <f>"13:53:00.311"</f>
        <v>13:53:00.311</v>
      </c>
      <c r="CJ302">
        <v>0</v>
      </c>
      <c r="CK302">
        <v>2</v>
      </c>
      <c r="CL302">
        <v>0</v>
      </c>
      <c r="CM302">
        <v>2</v>
      </c>
      <c r="CN302">
        <v>0</v>
      </c>
      <c r="CO302">
        <v>7</v>
      </c>
      <c r="CP302" t="s">
        <v>119</v>
      </c>
      <c r="CQ302">
        <v>197</v>
      </c>
      <c r="CR302">
        <v>1</v>
      </c>
      <c r="CW302">
        <v>7123298</v>
      </c>
      <c r="CY302">
        <v>1</v>
      </c>
      <c r="CZ302">
        <v>0</v>
      </c>
      <c r="DA302">
        <v>1</v>
      </c>
      <c r="DB302">
        <v>0</v>
      </c>
      <c r="DC302">
        <v>0</v>
      </c>
      <c r="DD302">
        <v>0</v>
      </c>
      <c r="DE302">
        <v>0</v>
      </c>
      <c r="DF302">
        <v>0</v>
      </c>
      <c r="DG302">
        <v>0</v>
      </c>
      <c r="DH302">
        <v>0</v>
      </c>
      <c r="DI302">
        <v>0</v>
      </c>
    </row>
    <row r="303" spans="1:113" x14ac:dyDescent="0.3">
      <c r="A303" t="str">
        <f>"09/28/2021 13:53:01.634"</f>
        <v>09/28/2021 13:53:01.634</v>
      </c>
      <c r="C303" t="str">
        <f t="shared" si="17"/>
        <v>FFDFD3C0</v>
      </c>
      <c r="D303" t="s">
        <v>120</v>
      </c>
      <c r="E303">
        <v>12</v>
      </c>
      <c r="F303">
        <v>1012</v>
      </c>
      <c r="G303" t="s">
        <v>114</v>
      </c>
      <c r="J303" t="s">
        <v>121</v>
      </c>
      <c r="K303">
        <v>0</v>
      </c>
      <c r="L303">
        <v>3</v>
      </c>
      <c r="M303">
        <v>0</v>
      </c>
      <c r="N303">
        <v>2</v>
      </c>
      <c r="O303">
        <v>1</v>
      </c>
      <c r="P303">
        <v>0</v>
      </c>
      <c r="Q303">
        <v>0</v>
      </c>
      <c r="S303" t="str">
        <f>"13:53:01.391"</f>
        <v>13:53:01.391</v>
      </c>
      <c r="T303" t="str">
        <f>"13:53:00.891"</f>
        <v>13:53:00.891</v>
      </c>
      <c r="U303" t="str">
        <f t="shared" si="16"/>
        <v>A92BC1</v>
      </c>
      <c r="V303">
        <v>0</v>
      </c>
      <c r="W303">
        <v>0</v>
      </c>
      <c r="X303">
        <v>2</v>
      </c>
      <c r="Z303">
        <v>0</v>
      </c>
      <c r="AA303">
        <v>9</v>
      </c>
      <c r="AB303">
        <v>3</v>
      </c>
      <c r="AC303">
        <v>0</v>
      </c>
      <c r="AD303">
        <v>10</v>
      </c>
      <c r="AE303">
        <v>0</v>
      </c>
      <c r="AF303">
        <v>3</v>
      </c>
      <c r="AG303">
        <v>2</v>
      </c>
      <c r="AH303">
        <v>0</v>
      </c>
      <c r="AI303" t="s">
        <v>404</v>
      </c>
      <c r="AJ303">
        <v>45.698726000000001</v>
      </c>
      <c r="AK303" t="s">
        <v>405</v>
      </c>
      <c r="AL303">
        <v>-89.435147999999998</v>
      </c>
      <c r="AM303">
        <v>100</v>
      </c>
      <c r="AN303">
        <v>7000</v>
      </c>
      <c r="AO303" t="s">
        <v>118</v>
      </c>
      <c r="AP303">
        <v>125</v>
      </c>
      <c r="AQ303">
        <v>99</v>
      </c>
      <c r="AR303">
        <v>1792</v>
      </c>
      <c r="AZ303">
        <v>1200</v>
      </c>
      <c r="BA303">
        <v>1</v>
      </c>
      <c r="BB303" t="str">
        <f t="shared" si="18"/>
        <v xml:space="preserve">N690LS  </v>
      </c>
      <c r="BC303">
        <v>1</v>
      </c>
      <c r="BE303">
        <v>0</v>
      </c>
      <c r="BF303">
        <v>0</v>
      </c>
      <c r="BG303">
        <v>0</v>
      </c>
      <c r="BH303">
        <v>7100</v>
      </c>
      <c r="BI303">
        <v>1</v>
      </c>
      <c r="BJ303">
        <v>1</v>
      </c>
      <c r="BK303">
        <v>1</v>
      </c>
      <c r="BL303">
        <v>0</v>
      </c>
      <c r="BO303">
        <v>0</v>
      </c>
      <c r="BP303">
        <v>0</v>
      </c>
      <c r="BW303" t="str">
        <f>"13:53:01.393"</f>
        <v>13:53:01.393</v>
      </c>
      <c r="CJ303">
        <v>0</v>
      </c>
      <c r="CK303">
        <v>2</v>
      </c>
      <c r="CL303">
        <v>0</v>
      </c>
      <c r="CM303">
        <v>2</v>
      </c>
      <c r="CN303">
        <v>0</v>
      </c>
      <c r="CO303">
        <v>6</v>
      </c>
      <c r="CP303" t="s">
        <v>119</v>
      </c>
      <c r="CQ303">
        <v>210</v>
      </c>
      <c r="CR303">
        <v>2</v>
      </c>
      <c r="CW303">
        <v>2174636</v>
      </c>
      <c r="CY303">
        <v>1</v>
      </c>
      <c r="CZ303">
        <v>0</v>
      </c>
      <c r="DA303">
        <v>0</v>
      </c>
      <c r="DB303">
        <v>0</v>
      </c>
      <c r="DC303">
        <v>0</v>
      </c>
      <c r="DD303">
        <v>0</v>
      </c>
      <c r="DE303">
        <v>0</v>
      </c>
      <c r="DF303">
        <v>0</v>
      </c>
      <c r="DG303">
        <v>0</v>
      </c>
      <c r="DH303">
        <v>0</v>
      </c>
      <c r="DI303">
        <v>0</v>
      </c>
    </row>
    <row r="304" spans="1:113" x14ac:dyDescent="0.3">
      <c r="A304" t="str">
        <f>"09/28/2021 13:53:01.634"</f>
        <v>09/28/2021 13:53:01.634</v>
      </c>
      <c r="C304" t="str">
        <f t="shared" si="17"/>
        <v>FFDFD3C0</v>
      </c>
      <c r="D304" t="s">
        <v>113</v>
      </c>
      <c r="E304">
        <v>7</v>
      </c>
      <c r="H304">
        <v>170</v>
      </c>
      <c r="I304" t="s">
        <v>114</v>
      </c>
      <c r="J304" t="s">
        <v>115</v>
      </c>
      <c r="K304">
        <v>0</v>
      </c>
      <c r="L304">
        <v>3</v>
      </c>
      <c r="M304">
        <v>0</v>
      </c>
      <c r="N304">
        <v>2</v>
      </c>
      <c r="O304">
        <v>1</v>
      </c>
      <c r="P304">
        <v>0</v>
      </c>
      <c r="Q304">
        <v>0</v>
      </c>
      <c r="S304" t="str">
        <f>"13:53:01.391"</f>
        <v>13:53:01.391</v>
      </c>
      <c r="T304" t="str">
        <f>"13:53:00.891"</f>
        <v>13:53:00.891</v>
      </c>
      <c r="U304" t="str">
        <f t="shared" si="16"/>
        <v>A92BC1</v>
      </c>
      <c r="V304">
        <v>0</v>
      </c>
      <c r="W304">
        <v>0</v>
      </c>
      <c r="X304">
        <v>2</v>
      </c>
      <c r="Z304">
        <v>0</v>
      </c>
      <c r="AA304">
        <v>9</v>
      </c>
      <c r="AB304">
        <v>3</v>
      </c>
      <c r="AC304">
        <v>0</v>
      </c>
      <c r="AD304">
        <v>10</v>
      </c>
      <c r="AE304">
        <v>0</v>
      </c>
      <c r="AF304">
        <v>3</v>
      </c>
      <c r="AG304">
        <v>2</v>
      </c>
      <c r="AH304">
        <v>0</v>
      </c>
      <c r="AI304" t="s">
        <v>404</v>
      </c>
      <c r="AJ304">
        <v>45.698726000000001</v>
      </c>
      <c r="AK304" t="s">
        <v>405</v>
      </c>
      <c r="AL304">
        <v>-89.435147999999998</v>
      </c>
      <c r="AM304">
        <v>100</v>
      </c>
      <c r="AN304">
        <v>7000</v>
      </c>
      <c r="AO304" t="s">
        <v>118</v>
      </c>
      <c r="AP304">
        <v>125</v>
      </c>
      <c r="AQ304">
        <v>99</v>
      </c>
      <c r="AR304">
        <v>1792</v>
      </c>
      <c r="AZ304">
        <v>1200</v>
      </c>
      <c r="BA304">
        <v>1</v>
      </c>
      <c r="BB304" t="str">
        <f t="shared" si="18"/>
        <v xml:space="preserve">N690LS  </v>
      </c>
      <c r="BC304">
        <v>1</v>
      </c>
      <c r="BE304">
        <v>0</v>
      </c>
      <c r="BF304">
        <v>0</v>
      </c>
      <c r="BG304">
        <v>0</v>
      </c>
      <c r="BH304">
        <v>7100</v>
      </c>
      <c r="BI304">
        <v>1</v>
      </c>
      <c r="BJ304">
        <v>1</v>
      </c>
      <c r="BK304">
        <v>1</v>
      </c>
      <c r="BL304">
        <v>0</v>
      </c>
      <c r="BO304">
        <v>0</v>
      </c>
      <c r="BP304">
        <v>0</v>
      </c>
      <c r="BW304" t="str">
        <f>"13:53:01.393"</f>
        <v>13:53:01.393</v>
      </c>
      <c r="CJ304">
        <v>0</v>
      </c>
      <c r="CK304">
        <v>2</v>
      </c>
      <c r="CL304">
        <v>0</v>
      </c>
      <c r="CM304">
        <v>2</v>
      </c>
      <c r="CN304">
        <v>0</v>
      </c>
      <c r="CO304">
        <v>6</v>
      </c>
      <c r="CP304" t="s">
        <v>119</v>
      </c>
      <c r="CQ304">
        <v>210</v>
      </c>
      <c r="CR304">
        <v>2</v>
      </c>
      <c r="CW304">
        <v>2174636</v>
      </c>
      <c r="CY304">
        <v>1</v>
      </c>
      <c r="CZ304">
        <v>0</v>
      </c>
      <c r="DA304">
        <v>1</v>
      </c>
      <c r="DB304">
        <v>0</v>
      </c>
      <c r="DC304">
        <v>0</v>
      </c>
      <c r="DD304">
        <v>0</v>
      </c>
      <c r="DE304">
        <v>0</v>
      </c>
      <c r="DF304">
        <v>0</v>
      </c>
      <c r="DG304">
        <v>0</v>
      </c>
      <c r="DH304">
        <v>0</v>
      </c>
      <c r="DI304">
        <v>0</v>
      </c>
    </row>
    <row r="305" spans="1:113" x14ac:dyDescent="0.3">
      <c r="A305" t="str">
        <f>"09/28/2021 13:53:02.635"</f>
        <v>09/28/2021 13:53:02.635</v>
      </c>
      <c r="C305" t="str">
        <f t="shared" si="17"/>
        <v>FFDFD3C0</v>
      </c>
      <c r="D305" t="s">
        <v>113</v>
      </c>
      <c r="E305">
        <v>7</v>
      </c>
      <c r="H305">
        <v>170</v>
      </c>
      <c r="I305" t="s">
        <v>114</v>
      </c>
      <c r="J305" t="s">
        <v>115</v>
      </c>
      <c r="K305">
        <v>0</v>
      </c>
      <c r="L305">
        <v>3</v>
      </c>
      <c r="M305">
        <v>0</v>
      </c>
      <c r="N305">
        <v>2</v>
      </c>
      <c r="O305">
        <v>1</v>
      </c>
      <c r="P305">
        <v>0</v>
      </c>
      <c r="Q305">
        <v>0</v>
      </c>
      <c r="S305" t="str">
        <f>"13:53:02.406"</f>
        <v>13:53:02.406</v>
      </c>
      <c r="T305" t="str">
        <f>"13:53:01.906"</f>
        <v>13:53:01.906</v>
      </c>
      <c r="U305" t="str">
        <f t="shared" si="16"/>
        <v>A92BC1</v>
      </c>
      <c r="V305">
        <v>0</v>
      </c>
      <c r="W305">
        <v>0</v>
      </c>
      <c r="X305">
        <v>2</v>
      </c>
      <c r="Z305">
        <v>0</v>
      </c>
      <c r="AA305">
        <v>9</v>
      </c>
      <c r="AB305">
        <v>3</v>
      </c>
      <c r="AC305">
        <v>0</v>
      </c>
      <c r="AD305">
        <v>10</v>
      </c>
      <c r="AE305">
        <v>0</v>
      </c>
      <c r="AF305">
        <v>3</v>
      </c>
      <c r="AG305">
        <v>2</v>
      </c>
      <c r="AH305">
        <v>0</v>
      </c>
      <c r="AI305" t="s">
        <v>406</v>
      </c>
      <c r="AJ305">
        <v>45.699198000000003</v>
      </c>
      <c r="AK305" t="s">
        <v>407</v>
      </c>
      <c r="AL305">
        <v>-89.434332999999995</v>
      </c>
      <c r="AM305">
        <v>100</v>
      </c>
      <c r="AN305">
        <v>7000</v>
      </c>
      <c r="AO305" t="s">
        <v>118</v>
      </c>
      <c r="AP305">
        <v>125</v>
      </c>
      <c r="AQ305">
        <v>99</v>
      </c>
      <c r="AR305">
        <v>1792</v>
      </c>
      <c r="AZ305">
        <v>1200</v>
      </c>
      <c r="BA305">
        <v>1</v>
      </c>
      <c r="BB305" t="str">
        <f t="shared" si="18"/>
        <v xml:space="preserve">N690LS  </v>
      </c>
      <c r="BC305">
        <v>1</v>
      </c>
      <c r="BE305">
        <v>0</v>
      </c>
      <c r="BF305">
        <v>0</v>
      </c>
      <c r="BG305">
        <v>0</v>
      </c>
      <c r="BH305">
        <v>7125</v>
      </c>
      <c r="BI305">
        <v>1</v>
      </c>
      <c r="BJ305">
        <v>1</v>
      </c>
      <c r="BK305">
        <v>1</v>
      </c>
      <c r="BL305">
        <v>0</v>
      </c>
      <c r="BO305">
        <v>0</v>
      </c>
      <c r="BP305">
        <v>0</v>
      </c>
      <c r="BW305" t="str">
        <f>"13:53:02.413"</f>
        <v>13:53:02.413</v>
      </c>
      <c r="CJ305">
        <v>0</v>
      </c>
      <c r="CK305">
        <v>2</v>
      </c>
      <c r="CL305">
        <v>0</v>
      </c>
      <c r="CM305">
        <v>2</v>
      </c>
      <c r="CN305">
        <v>0</v>
      </c>
      <c r="CO305">
        <v>6</v>
      </c>
      <c r="CP305" t="s">
        <v>119</v>
      </c>
      <c r="CQ305">
        <v>210</v>
      </c>
      <c r="CR305">
        <v>2</v>
      </c>
      <c r="CW305">
        <v>2175209</v>
      </c>
      <c r="CY305">
        <v>1</v>
      </c>
      <c r="CZ305">
        <v>0</v>
      </c>
      <c r="DA305">
        <v>0</v>
      </c>
      <c r="DB305">
        <v>0</v>
      </c>
      <c r="DC305">
        <v>0</v>
      </c>
      <c r="DD305">
        <v>0</v>
      </c>
      <c r="DE305">
        <v>0</v>
      </c>
      <c r="DF305">
        <v>0</v>
      </c>
      <c r="DG305">
        <v>0</v>
      </c>
      <c r="DH305">
        <v>0</v>
      </c>
      <c r="DI305">
        <v>0</v>
      </c>
    </row>
    <row r="306" spans="1:113" x14ac:dyDescent="0.3">
      <c r="A306" t="str">
        <f>"09/28/2021 13:53:02.635"</f>
        <v>09/28/2021 13:53:02.635</v>
      </c>
      <c r="C306" t="str">
        <f t="shared" si="17"/>
        <v>FFDFD3C0</v>
      </c>
      <c r="D306" t="s">
        <v>120</v>
      </c>
      <c r="E306">
        <v>12</v>
      </c>
      <c r="F306">
        <v>1012</v>
      </c>
      <c r="G306" t="s">
        <v>114</v>
      </c>
      <c r="J306" t="s">
        <v>121</v>
      </c>
      <c r="K306">
        <v>0</v>
      </c>
      <c r="L306">
        <v>3</v>
      </c>
      <c r="M306">
        <v>0</v>
      </c>
      <c r="N306">
        <v>2</v>
      </c>
      <c r="O306">
        <v>1</v>
      </c>
      <c r="P306">
        <v>0</v>
      </c>
      <c r="Q306">
        <v>0</v>
      </c>
      <c r="S306" t="str">
        <f>"13:53:02.406"</f>
        <v>13:53:02.406</v>
      </c>
      <c r="T306" t="str">
        <f>"13:53:01.906"</f>
        <v>13:53:01.906</v>
      </c>
      <c r="U306" t="str">
        <f t="shared" si="16"/>
        <v>A92BC1</v>
      </c>
      <c r="V306">
        <v>0</v>
      </c>
      <c r="W306">
        <v>0</v>
      </c>
      <c r="X306">
        <v>2</v>
      </c>
      <c r="Z306">
        <v>0</v>
      </c>
      <c r="AA306">
        <v>9</v>
      </c>
      <c r="AB306">
        <v>3</v>
      </c>
      <c r="AC306">
        <v>0</v>
      </c>
      <c r="AD306">
        <v>10</v>
      </c>
      <c r="AE306">
        <v>0</v>
      </c>
      <c r="AF306">
        <v>3</v>
      </c>
      <c r="AG306">
        <v>2</v>
      </c>
      <c r="AH306">
        <v>0</v>
      </c>
      <c r="AI306" t="s">
        <v>406</v>
      </c>
      <c r="AJ306">
        <v>45.699198000000003</v>
      </c>
      <c r="AK306" t="s">
        <v>407</v>
      </c>
      <c r="AL306">
        <v>-89.434332999999995</v>
      </c>
      <c r="AM306">
        <v>100</v>
      </c>
      <c r="AN306">
        <v>7000</v>
      </c>
      <c r="AO306" t="s">
        <v>118</v>
      </c>
      <c r="AP306">
        <v>125</v>
      </c>
      <c r="AQ306">
        <v>99</v>
      </c>
      <c r="AR306">
        <v>1792</v>
      </c>
      <c r="AZ306">
        <v>1200</v>
      </c>
      <c r="BA306">
        <v>1</v>
      </c>
      <c r="BB306" t="str">
        <f t="shared" si="18"/>
        <v xml:space="preserve">N690LS  </v>
      </c>
      <c r="BC306">
        <v>1</v>
      </c>
      <c r="BE306">
        <v>0</v>
      </c>
      <c r="BF306">
        <v>0</v>
      </c>
      <c r="BG306">
        <v>0</v>
      </c>
      <c r="BH306">
        <v>7125</v>
      </c>
      <c r="BI306">
        <v>1</v>
      </c>
      <c r="BJ306">
        <v>1</v>
      </c>
      <c r="BK306">
        <v>1</v>
      </c>
      <c r="BL306">
        <v>0</v>
      </c>
      <c r="BO306">
        <v>0</v>
      </c>
      <c r="BP306">
        <v>0</v>
      </c>
      <c r="BW306" t="str">
        <f>"13:53:02.413"</f>
        <v>13:53:02.413</v>
      </c>
      <c r="CJ306">
        <v>0</v>
      </c>
      <c r="CK306">
        <v>2</v>
      </c>
      <c r="CL306">
        <v>0</v>
      </c>
      <c r="CM306">
        <v>2</v>
      </c>
      <c r="CN306">
        <v>0</v>
      </c>
      <c r="CO306">
        <v>6</v>
      </c>
      <c r="CP306" t="s">
        <v>119</v>
      </c>
      <c r="CQ306">
        <v>210</v>
      </c>
      <c r="CR306">
        <v>2</v>
      </c>
      <c r="CW306">
        <v>2175209</v>
      </c>
      <c r="CY306">
        <v>1</v>
      </c>
      <c r="CZ306">
        <v>0</v>
      </c>
      <c r="DA306">
        <v>1</v>
      </c>
      <c r="DB306">
        <v>0</v>
      </c>
      <c r="DC306">
        <v>0</v>
      </c>
      <c r="DD306">
        <v>0</v>
      </c>
      <c r="DE306">
        <v>0</v>
      </c>
      <c r="DF306">
        <v>0</v>
      </c>
      <c r="DG306">
        <v>0</v>
      </c>
      <c r="DH306">
        <v>0</v>
      </c>
      <c r="DI306">
        <v>0</v>
      </c>
    </row>
    <row r="307" spans="1:113" x14ac:dyDescent="0.3">
      <c r="A307" t="str">
        <f>"09/28/2021 13:53:03.620"</f>
        <v>09/28/2021 13:53:03.620</v>
      </c>
      <c r="C307" t="str">
        <f t="shared" si="17"/>
        <v>FFDFD3C0</v>
      </c>
      <c r="D307" t="s">
        <v>120</v>
      </c>
      <c r="E307">
        <v>12</v>
      </c>
      <c r="F307">
        <v>1012</v>
      </c>
      <c r="G307" t="s">
        <v>114</v>
      </c>
      <c r="J307" t="s">
        <v>121</v>
      </c>
      <c r="K307">
        <v>0</v>
      </c>
      <c r="L307">
        <v>3</v>
      </c>
      <c r="M307">
        <v>0</v>
      </c>
      <c r="N307">
        <v>2</v>
      </c>
      <c r="O307">
        <v>1</v>
      </c>
      <c r="P307">
        <v>0</v>
      </c>
      <c r="Q307">
        <v>0</v>
      </c>
      <c r="S307" t="str">
        <f>"13:53:03.414"</f>
        <v>13:53:03.414</v>
      </c>
      <c r="T307" t="str">
        <f>"13:53:03.014"</f>
        <v>13:53:03.014</v>
      </c>
      <c r="U307" t="str">
        <f t="shared" si="16"/>
        <v>A92BC1</v>
      </c>
      <c r="V307">
        <v>0</v>
      </c>
      <c r="W307">
        <v>0</v>
      </c>
      <c r="X307">
        <v>2</v>
      </c>
      <c r="Z307">
        <v>0</v>
      </c>
      <c r="AA307">
        <v>9</v>
      </c>
      <c r="AB307">
        <v>3</v>
      </c>
      <c r="AC307">
        <v>0</v>
      </c>
      <c r="AD307">
        <v>10</v>
      </c>
      <c r="AE307">
        <v>0</v>
      </c>
      <c r="AF307">
        <v>3</v>
      </c>
      <c r="AG307">
        <v>2</v>
      </c>
      <c r="AH307">
        <v>0</v>
      </c>
      <c r="AI307" t="s">
        <v>408</v>
      </c>
      <c r="AJ307">
        <v>45.699649000000001</v>
      </c>
      <c r="AK307" t="s">
        <v>409</v>
      </c>
      <c r="AL307">
        <v>-89.433538999999996</v>
      </c>
      <c r="AM307">
        <v>100</v>
      </c>
      <c r="AN307">
        <v>7000</v>
      </c>
      <c r="AO307" t="s">
        <v>118</v>
      </c>
      <c r="AP307">
        <v>126</v>
      </c>
      <c r="AQ307">
        <v>100</v>
      </c>
      <c r="AR307">
        <v>1792</v>
      </c>
      <c r="AZ307">
        <v>1200</v>
      </c>
      <c r="BA307">
        <v>1</v>
      </c>
      <c r="BB307" t="str">
        <f t="shared" si="18"/>
        <v xml:space="preserve">N690LS  </v>
      </c>
      <c r="BC307">
        <v>1</v>
      </c>
      <c r="BE307">
        <v>0</v>
      </c>
      <c r="BF307">
        <v>0</v>
      </c>
      <c r="BG307">
        <v>0</v>
      </c>
      <c r="BH307">
        <v>7150</v>
      </c>
      <c r="BI307">
        <v>1</v>
      </c>
      <c r="BJ307">
        <v>1</v>
      </c>
      <c r="BK307">
        <v>1</v>
      </c>
      <c r="BL307">
        <v>0</v>
      </c>
      <c r="BO307">
        <v>0</v>
      </c>
      <c r="BP307">
        <v>0</v>
      </c>
      <c r="BW307" t="str">
        <f>"13:53:03.419"</f>
        <v>13:53:03.419</v>
      </c>
      <c r="CJ307">
        <v>0</v>
      </c>
      <c r="CK307">
        <v>2</v>
      </c>
      <c r="CL307">
        <v>0</v>
      </c>
      <c r="CM307">
        <v>2</v>
      </c>
      <c r="CN307">
        <v>0</v>
      </c>
      <c r="CO307">
        <v>7</v>
      </c>
      <c r="CP307" t="s">
        <v>119</v>
      </c>
      <c r="CQ307">
        <v>197</v>
      </c>
      <c r="CR307">
        <v>2</v>
      </c>
      <c r="CW307">
        <v>2228024</v>
      </c>
      <c r="CY307">
        <v>1</v>
      </c>
      <c r="CZ307">
        <v>0</v>
      </c>
      <c r="DA307">
        <v>0</v>
      </c>
      <c r="DB307">
        <v>0</v>
      </c>
      <c r="DC307">
        <v>0</v>
      </c>
      <c r="DD307">
        <v>0</v>
      </c>
      <c r="DE307">
        <v>0</v>
      </c>
      <c r="DF307">
        <v>0</v>
      </c>
      <c r="DG307">
        <v>0</v>
      </c>
      <c r="DH307">
        <v>0</v>
      </c>
      <c r="DI307">
        <v>0</v>
      </c>
    </row>
    <row r="308" spans="1:113" x14ac:dyDescent="0.3">
      <c r="A308" t="str">
        <f>"09/28/2021 13:53:03.620"</f>
        <v>09/28/2021 13:53:03.620</v>
      </c>
      <c r="C308" t="str">
        <f t="shared" si="17"/>
        <v>FFDFD3C0</v>
      </c>
      <c r="D308" t="s">
        <v>113</v>
      </c>
      <c r="E308">
        <v>7</v>
      </c>
      <c r="H308">
        <v>170</v>
      </c>
      <c r="I308" t="s">
        <v>114</v>
      </c>
      <c r="J308" t="s">
        <v>115</v>
      </c>
      <c r="K308">
        <v>0</v>
      </c>
      <c r="L308">
        <v>3</v>
      </c>
      <c r="M308">
        <v>0</v>
      </c>
      <c r="N308">
        <v>2</v>
      </c>
      <c r="O308">
        <v>1</v>
      </c>
      <c r="P308">
        <v>0</v>
      </c>
      <c r="Q308">
        <v>0</v>
      </c>
      <c r="S308" t="str">
        <f>"13:53:03.414"</f>
        <v>13:53:03.414</v>
      </c>
      <c r="T308" t="str">
        <f>"13:53:03.014"</f>
        <v>13:53:03.014</v>
      </c>
      <c r="U308" t="str">
        <f t="shared" si="16"/>
        <v>A92BC1</v>
      </c>
      <c r="V308">
        <v>0</v>
      </c>
      <c r="W308">
        <v>0</v>
      </c>
      <c r="X308">
        <v>2</v>
      </c>
      <c r="Z308">
        <v>0</v>
      </c>
      <c r="AA308">
        <v>9</v>
      </c>
      <c r="AB308">
        <v>3</v>
      </c>
      <c r="AC308">
        <v>0</v>
      </c>
      <c r="AD308">
        <v>10</v>
      </c>
      <c r="AE308">
        <v>0</v>
      </c>
      <c r="AF308">
        <v>3</v>
      </c>
      <c r="AG308">
        <v>2</v>
      </c>
      <c r="AH308">
        <v>0</v>
      </c>
      <c r="AI308" t="s">
        <v>408</v>
      </c>
      <c r="AJ308">
        <v>45.699649000000001</v>
      </c>
      <c r="AK308" t="s">
        <v>409</v>
      </c>
      <c r="AL308">
        <v>-89.433538999999996</v>
      </c>
      <c r="AM308">
        <v>100</v>
      </c>
      <c r="AN308">
        <v>7000</v>
      </c>
      <c r="AO308" t="s">
        <v>118</v>
      </c>
      <c r="AP308">
        <v>126</v>
      </c>
      <c r="AQ308">
        <v>100</v>
      </c>
      <c r="AR308">
        <v>1792</v>
      </c>
      <c r="AZ308">
        <v>1200</v>
      </c>
      <c r="BA308">
        <v>1</v>
      </c>
      <c r="BB308" t="str">
        <f t="shared" si="18"/>
        <v xml:space="preserve">N690LS  </v>
      </c>
      <c r="BC308">
        <v>1</v>
      </c>
      <c r="BE308">
        <v>0</v>
      </c>
      <c r="BF308">
        <v>0</v>
      </c>
      <c r="BG308">
        <v>0</v>
      </c>
      <c r="BH308">
        <v>7150</v>
      </c>
      <c r="BI308">
        <v>1</v>
      </c>
      <c r="BJ308">
        <v>1</v>
      </c>
      <c r="BK308">
        <v>1</v>
      </c>
      <c r="BL308">
        <v>0</v>
      </c>
      <c r="BO308">
        <v>0</v>
      </c>
      <c r="BP308">
        <v>0</v>
      </c>
      <c r="BW308" t="str">
        <f>"13:53:03.419"</f>
        <v>13:53:03.419</v>
      </c>
      <c r="CJ308">
        <v>0</v>
      </c>
      <c r="CK308">
        <v>2</v>
      </c>
      <c r="CL308">
        <v>0</v>
      </c>
      <c r="CM308">
        <v>2</v>
      </c>
      <c r="CN308">
        <v>0</v>
      </c>
      <c r="CO308">
        <v>7</v>
      </c>
      <c r="CP308" t="s">
        <v>119</v>
      </c>
      <c r="CQ308">
        <v>197</v>
      </c>
      <c r="CR308">
        <v>2</v>
      </c>
      <c r="CW308">
        <v>2228024</v>
      </c>
      <c r="CY308">
        <v>1</v>
      </c>
      <c r="CZ308">
        <v>0</v>
      </c>
      <c r="DA308">
        <v>1</v>
      </c>
      <c r="DB308">
        <v>0</v>
      </c>
      <c r="DC308">
        <v>0</v>
      </c>
      <c r="DD308">
        <v>0</v>
      </c>
      <c r="DE308">
        <v>0</v>
      </c>
      <c r="DF308">
        <v>0</v>
      </c>
      <c r="DG308">
        <v>0</v>
      </c>
      <c r="DH308">
        <v>0</v>
      </c>
      <c r="DI308">
        <v>0</v>
      </c>
    </row>
    <row r="309" spans="1:113" x14ac:dyDescent="0.3">
      <c r="A309" t="str">
        <f>"09/28/2021 13:53:04.683"</f>
        <v>09/28/2021 13:53:04.683</v>
      </c>
      <c r="C309" t="str">
        <f t="shared" si="17"/>
        <v>FFDFD3C0</v>
      </c>
      <c r="D309" t="s">
        <v>120</v>
      </c>
      <c r="E309">
        <v>12</v>
      </c>
      <c r="F309">
        <v>1012</v>
      </c>
      <c r="G309" t="s">
        <v>114</v>
      </c>
      <c r="J309" t="s">
        <v>121</v>
      </c>
      <c r="K309">
        <v>0</v>
      </c>
      <c r="L309">
        <v>3</v>
      </c>
      <c r="M309">
        <v>0</v>
      </c>
      <c r="N309">
        <v>2</v>
      </c>
      <c r="O309">
        <v>1</v>
      </c>
      <c r="P309">
        <v>0</v>
      </c>
      <c r="Q309">
        <v>0</v>
      </c>
      <c r="S309" t="str">
        <f>"13:53:04.453"</f>
        <v>13:53:04.453</v>
      </c>
      <c r="T309" t="str">
        <f>"13:53:04.053"</f>
        <v>13:53:04.053</v>
      </c>
      <c r="U309" t="str">
        <f t="shared" si="16"/>
        <v>A92BC1</v>
      </c>
      <c r="V309">
        <v>0</v>
      </c>
      <c r="W309">
        <v>0</v>
      </c>
      <c r="X309">
        <v>2</v>
      </c>
      <c r="Z309">
        <v>0</v>
      </c>
      <c r="AA309">
        <v>9</v>
      </c>
      <c r="AB309">
        <v>3</v>
      </c>
      <c r="AC309">
        <v>0</v>
      </c>
      <c r="AD309">
        <v>10</v>
      </c>
      <c r="AE309">
        <v>0</v>
      </c>
      <c r="AF309">
        <v>3</v>
      </c>
      <c r="AG309">
        <v>2</v>
      </c>
      <c r="AH309">
        <v>0</v>
      </c>
      <c r="AI309" t="s">
        <v>410</v>
      </c>
      <c r="AJ309">
        <v>45.700142</v>
      </c>
      <c r="AK309" t="s">
        <v>411</v>
      </c>
      <c r="AL309">
        <v>-89.432615999999996</v>
      </c>
      <c r="AM309">
        <v>100</v>
      </c>
      <c r="AN309">
        <v>7100</v>
      </c>
      <c r="AO309" t="s">
        <v>118</v>
      </c>
      <c r="AP309">
        <v>126</v>
      </c>
      <c r="AQ309">
        <v>100</v>
      </c>
      <c r="AR309">
        <v>1792</v>
      </c>
      <c r="AZ309">
        <v>1200</v>
      </c>
      <c r="BA309">
        <v>1</v>
      </c>
      <c r="BB309" t="str">
        <f t="shared" si="18"/>
        <v xml:space="preserve">N690LS  </v>
      </c>
      <c r="BC309">
        <v>1</v>
      </c>
      <c r="BE309">
        <v>0</v>
      </c>
      <c r="BF309">
        <v>0</v>
      </c>
      <c r="BG309">
        <v>0</v>
      </c>
      <c r="BH309">
        <v>7175</v>
      </c>
      <c r="BI309">
        <v>1</v>
      </c>
      <c r="BJ309">
        <v>1</v>
      </c>
      <c r="BK309">
        <v>1</v>
      </c>
      <c r="BL309">
        <v>0</v>
      </c>
      <c r="BO309">
        <v>0</v>
      </c>
      <c r="BP309">
        <v>0</v>
      </c>
      <c r="BW309" t="str">
        <f>"13:53:04.458"</f>
        <v>13:53:04.458</v>
      </c>
      <c r="CJ309">
        <v>0</v>
      </c>
      <c r="CK309">
        <v>2</v>
      </c>
      <c r="CL309">
        <v>0</v>
      </c>
      <c r="CM309">
        <v>2</v>
      </c>
      <c r="CN309">
        <v>0</v>
      </c>
      <c r="CO309">
        <v>6</v>
      </c>
      <c r="CP309" t="s">
        <v>119</v>
      </c>
      <c r="CQ309">
        <v>210</v>
      </c>
      <c r="CR309">
        <v>2</v>
      </c>
      <c r="CW309">
        <v>2176445</v>
      </c>
      <c r="CY309">
        <v>1</v>
      </c>
      <c r="CZ309">
        <v>0</v>
      </c>
      <c r="DA309">
        <v>0</v>
      </c>
      <c r="DB309">
        <v>0</v>
      </c>
      <c r="DC309">
        <v>0</v>
      </c>
      <c r="DD309">
        <v>0</v>
      </c>
      <c r="DE309">
        <v>0</v>
      </c>
      <c r="DF309">
        <v>0</v>
      </c>
      <c r="DG309">
        <v>0</v>
      </c>
      <c r="DH309">
        <v>0</v>
      </c>
      <c r="DI309">
        <v>0</v>
      </c>
    </row>
    <row r="310" spans="1:113" x14ac:dyDescent="0.3">
      <c r="A310" t="str">
        <f>"09/28/2021 13:53:04.698"</f>
        <v>09/28/2021 13:53:04.698</v>
      </c>
      <c r="C310" t="str">
        <f t="shared" si="17"/>
        <v>FFDFD3C0</v>
      </c>
      <c r="D310" t="s">
        <v>113</v>
      </c>
      <c r="E310">
        <v>7</v>
      </c>
      <c r="H310">
        <v>170</v>
      </c>
      <c r="I310" t="s">
        <v>114</v>
      </c>
      <c r="J310" t="s">
        <v>115</v>
      </c>
      <c r="K310">
        <v>0</v>
      </c>
      <c r="L310">
        <v>3</v>
      </c>
      <c r="M310">
        <v>0</v>
      </c>
      <c r="N310">
        <v>2</v>
      </c>
      <c r="O310">
        <v>1</v>
      </c>
      <c r="P310">
        <v>0</v>
      </c>
      <c r="Q310">
        <v>0</v>
      </c>
      <c r="S310" t="str">
        <f>"13:53:04.453"</f>
        <v>13:53:04.453</v>
      </c>
      <c r="T310" t="str">
        <f>"13:53:04.053"</f>
        <v>13:53:04.053</v>
      </c>
      <c r="U310" t="str">
        <f t="shared" si="16"/>
        <v>A92BC1</v>
      </c>
      <c r="V310">
        <v>0</v>
      </c>
      <c r="W310">
        <v>0</v>
      </c>
      <c r="X310">
        <v>2</v>
      </c>
      <c r="Z310">
        <v>0</v>
      </c>
      <c r="AA310">
        <v>9</v>
      </c>
      <c r="AB310">
        <v>3</v>
      </c>
      <c r="AC310">
        <v>0</v>
      </c>
      <c r="AD310">
        <v>10</v>
      </c>
      <c r="AE310">
        <v>0</v>
      </c>
      <c r="AF310">
        <v>3</v>
      </c>
      <c r="AG310">
        <v>2</v>
      </c>
      <c r="AH310">
        <v>0</v>
      </c>
      <c r="AI310" t="s">
        <v>410</v>
      </c>
      <c r="AJ310">
        <v>45.700142</v>
      </c>
      <c r="AK310" t="s">
        <v>411</v>
      </c>
      <c r="AL310">
        <v>-89.432615999999996</v>
      </c>
      <c r="AM310">
        <v>100</v>
      </c>
      <c r="AN310">
        <v>7100</v>
      </c>
      <c r="AO310" t="s">
        <v>118</v>
      </c>
      <c r="AP310">
        <v>126</v>
      </c>
      <c r="AQ310">
        <v>100</v>
      </c>
      <c r="AR310">
        <v>1792</v>
      </c>
      <c r="AZ310">
        <v>1200</v>
      </c>
      <c r="BA310">
        <v>1</v>
      </c>
      <c r="BB310" t="str">
        <f t="shared" si="18"/>
        <v xml:space="preserve">N690LS  </v>
      </c>
      <c r="BC310">
        <v>1</v>
      </c>
      <c r="BE310">
        <v>0</v>
      </c>
      <c r="BF310">
        <v>0</v>
      </c>
      <c r="BG310">
        <v>0</v>
      </c>
      <c r="BH310">
        <v>7175</v>
      </c>
      <c r="BI310">
        <v>1</v>
      </c>
      <c r="BJ310">
        <v>1</v>
      </c>
      <c r="BK310">
        <v>1</v>
      </c>
      <c r="BL310">
        <v>0</v>
      </c>
      <c r="BO310">
        <v>0</v>
      </c>
      <c r="BP310">
        <v>0</v>
      </c>
      <c r="BW310" t="str">
        <f>"13:53:04.458"</f>
        <v>13:53:04.458</v>
      </c>
      <c r="CJ310">
        <v>0</v>
      </c>
      <c r="CK310">
        <v>2</v>
      </c>
      <c r="CL310">
        <v>0</v>
      </c>
      <c r="CM310">
        <v>2</v>
      </c>
      <c r="CN310">
        <v>0</v>
      </c>
      <c r="CO310">
        <v>6</v>
      </c>
      <c r="CP310" t="s">
        <v>119</v>
      </c>
      <c r="CQ310">
        <v>210</v>
      </c>
      <c r="CR310">
        <v>2</v>
      </c>
      <c r="CW310">
        <v>2176445</v>
      </c>
      <c r="CY310">
        <v>1</v>
      </c>
      <c r="CZ310">
        <v>0</v>
      </c>
      <c r="DA310">
        <v>1</v>
      </c>
      <c r="DB310">
        <v>0</v>
      </c>
      <c r="DC310">
        <v>0</v>
      </c>
      <c r="DD310">
        <v>0</v>
      </c>
      <c r="DE310">
        <v>0</v>
      </c>
      <c r="DF310">
        <v>0</v>
      </c>
      <c r="DG310">
        <v>0</v>
      </c>
      <c r="DH310">
        <v>0</v>
      </c>
      <c r="DI310">
        <v>0</v>
      </c>
    </row>
    <row r="311" spans="1:113" x14ac:dyDescent="0.3">
      <c r="A311" t="str">
        <f>"09/28/2021 13:53:05.652"</f>
        <v>09/28/2021 13:53:05.652</v>
      </c>
      <c r="C311" t="str">
        <f t="shared" si="17"/>
        <v>FFDFD3C0</v>
      </c>
      <c r="D311" t="s">
        <v>113</v>
      </c>
      <c r="E311">
        <v>7</v>
      </c>
      <c r="H311">
        <v>170</v>
      </c>
      <c r="I311" t="s">
        <v>114</v>
      </c>
      <c r="J311" t="s">
        <v>115</v>
      </c>
      <c r="K311">
        <v>0</v>
      </c>
      <c r="L311">
        <v>3</v>
      </c>
      <c r="M311">
        <v>0</v>
      </c>
      <c r="N311">
        <v>2</v>
      </c>
      <c r="O311">
        <v>1</v>
      </c>
      <c r="P311">
        <v>0</v>
      </c>
      <c r="Q311">
        <v>0</v>
      </c>
      <c r="S311" t="str">
        <f>"13:53:05.445"</f>
        <v>13:53:05.445</v>
      </c>
      <c r="T311" t="str">
        <f>"13:53:04.945"</f>
        <v>13:53:04.945</v>
      </c>
      <c r="U311" t="str">
        <f t="shared" si="16"/>
        <v>A92BC1</v>
      </c>
      <c r="V311">
        <v>0</v>
      </c>
      <c r="W311">
        <v>0</v>
      </c>
      <c r="X311">
        <v>2</v>
      </c>
      <c r="Z311">
        <v>0</v>
      </c>
      <c r="AA311">
        <v>9</v>
      </c>
      <c r="AB311">
        <v>3</v>
      </c>
      <c r="AC311">
        <v>0</v>
      </c>
      <c r="AD311">
        <v>10</v>
      </c>
      <c r="AE311">
        <v>0</v>
      </c>
      <c r="AF311">
        <v>3</v>
      </c>
      <c r="AG311">
        <v>2</v>
      </c>
      <c r="AH311">
        <v>0</v>
      </c>
      <c r="AI311" t="s">
        <v>412</v>
      </c>
      <c r="AJ311">
        <v>45.700614000000002</v>
      </c>
      <c r="AK311" t="s">
        <v>413</v>
      </c>
      <c r="AL311">
        <v>-89.431736000000001</v>
      </c>
      <c r="AM311">
        <v>100</v>
      </c>
      <c r="AN311">
        <v>7100</v>
      </c>
      <c r="AO311" t="s">
        <v>118</v>
      </c>
      <c r="AP311">
        <v>126</v>
      </c>
      <c r="AQ311">
        <v>100</v>
      </c>
      <c r="AR311">
        <v>1792</v>
      </c>
      <c r="AZ311">
        <v>1200</v>
      </c>
      <c r="BA311">
        <v>1</v>
      </c>
      <c r="BB311" t="str">
        <f t="shared" si="18"/>
        <v xml:space="preserve">N690LS  </v>
      </c>
      <c r="BC311">
        <v>1</v>
      </c>
      <c r="BE311">
        <v>0</v>
      </c>
      <c r="BF311">
        <v>0</v>
      </c>
      <c r="BG311">
        <v>0</v>
      </c>
      <c r="BH311">
        <v>7225</v>
      </c>
      <c r="BI311">
        <v>1</v>
      </c>
      <c r="BJ311">
        <v>1</v>
      </c>
      <c r="BK311">
        <v>1</v>
      </c>
      <c r="BL311">
        <v>0</v>
      </c>
      <c r="BO311">
        <v>0</v>
      </c>
      <c r="BP311">
        <v>0</v>
      </c>
      <c r="BW311" t="str">
        <f>"13:53:05.453"</f>
        <v>13:53:05.453</v>
      </c>
      <c r="CJ311">
        <v>0</v>
      </c>
      <c r="CK311">
        <v>2</v>
      </c>
      <c r="CL311">
        <v>0</v>
      </c>
      <c r="CM311">
        <v>2</v>
      </c>
      <c r="CN311">
        <v>0</v>
      </c>
      <c r="CO311">
        <v>6</v>
      </c>
      <c r="CP311" t="s">
        <v>119</v>
      </c>
      <c r="CQ311">
        <v>210</v>
      </c>
      <c r="CR311">
        <v>2</v>
      </c>
      <c r="CW311">
        <v>2177072</v>
      </c>
      <c r="CY311">
        <v>1</v>
      </c>
      <c r="CZ311">
        <v>0</v>
      </c>
      <c r="DA311">
        <v>0</v>
      </c>
      <c r="DB311">
        <v>0</v>
      </c>
      <c r="DC311">
        <v>0</v>
      </c>
      <c r="DD311">
        <v>0</v>
      </c>
      <c r="DE311">
        <v>0</v>
      </c>
      <c r="DF311">
        <v>0</v>
      </c>
      <c r="DG311">
        <v>0</v>
      </c>
      <c r="DH311">
        <v>0</v>
      </c>
      <c r="DI311">
        <v>0</v>
      </c>
    </row>
    <row r="312" spans="1:113" x14ac:dyDescent="0.3">
      <c r="A312" t="str">
        <f>"09/28/2021 13:53:05.698"</f>
        <v>09/28/2021 13:53:05.698</v>
      </c>
      <c r="C312" t="str">
        <f t="shared" si="17"/>
        <v>FFDFD3C0</v>
      </c>
      <c r="D312" t="s">
        <v>120</v>
      </c>
      <c r="E312">
        <v>12</v>
      </c>
      <c r="F312">
        <v>1012</v>
      </c>
      <c r="G312" t="s">
        <v>114</v>
      </c>
      <c r="J312" t="s">
        <v>121</v>
      </c>
      <c r="K312">
        <v>0</v>
      </c>
      <c r="L312">
        <v>3</v>
      </c>
      <c r="M312">
        <v>0</v>
      </c>
      <c r="N312">
        <v>2</v>
      </c>
      <c r="O312">
        <v>1</v>
      </c>
      <c r="P312">
        <v>0</v>
      </c>
      <c r="Q312">
        <v>0</v>
      </c>
      <c r="S312" t="str">
        <f>"13:53:05.445"</f>
        <v>13:53:05.445</v>
      </c>
      <c r="T312" t="str">
        <f>"13:53:04.945"</f>
        <v>13:53:04.945</v>
      </c>
      <c r="U312" t="str">
        <f t="shared" si="16"/>
        <v>A92BC1</v>
      </c>
      <c r="V312">
        <v>0</v>
      </c>
      <c r="W312">
        <v>0</v>
      </c>
      <c r="X312">
        <v>2</v>
      </c>
      <c r="Z312">
        <v>0</v>
      </c>
      <c r="AA312">
        <v>9</v>
      </c>
      <c r="AB312">
        <v>3</v>
      </c>
      <c r="AC312">
        <v>0</v>
      </c>
      <c r="AD312">
        <v>10</v>
      </c>
      <c r="AE312">
        <v>0</v>
      </c>
      <c r="AF312">
        <v>3</v>
      </c>
      <c r="AG312">
        <v>2</v>
      </c>
      <c r="AH312">
        <v>0</v>
      </c>
      <c r="AI312" t="s">
        <v>412</v>
      </c>
      <c r="AJ312">
        <v>45.700614000000002</v>
      </c>
      <c r="AK312" t="s">
        <v>413</v>
      </c>
      <c r="AL312">
        <v>-89.431736000000001</v>
      </c>
      <c r="AM312">
        <v>100</v>
      </c>
      <c r="AN312">
        <v>7100</v>
      </c>
      <c r="AO312" t="s">
        <v>118</v>
      </c>
      <c r="AP312">
        <v>126</v>
      </c>
      <c r="AQ312">
        <v>100</v>
      </c>
      <c r="AR312">
        <v>1792</v>
      </c>
      <c r="AZ312">
        <v>1200</v>
      </c>
      <c r="BA312">
        <v>1</v>
      </c>
      <c r="BB312" t="str">
        <f t="shared" si="18"/>
        <v xml:space="preserve">N690LS  </v>
      </c>
      <c r="BC312">
        <v>1</v>
      </c>
      <c r="BE312">
        <v>0</v>
      </c>
      <c r="BF312">
        <v>0</v>
      </c>
      <c r="BG312">
        <v>0</v>
      </c>
      <c r="BH312">
        <v>7225</v>
      </c>
      <c r="BI312">
        <v>1</v>
      </c>
      <c r="BJ312">
        <v>1</v>
      </c>
      <c r="BK312">
        <v>1</v>
      </c>
      <c r="BL312">
        <v>0</v>
      </c>
      <c r="BO312">
        <v>0</v>
      </c>
      <c r="BP312">
        <v>0</v>
      </c>
      <c r="BW312" t="str">
        <f>"13:53:05.453"</f>
        <v>13:53:05.453</v>
      </c>
      <c r="CJ312">
        <v>0</v>
      </c>
      <c r="CK312">
        <v>2</v>
      </c>
      <c r="CL312">
        <v>0</v>
      </c>
      <c r="CM312">
        <v>2</v>
      </c>
      <c r="CN312">
        <v>0</v>
      </c>
      <c r="CO312">
        <v>6</v>
      </c>
      <c r="CP312" t="s">
        <v>119</v>
      </c>
      <c r="CQ312">
        <v>210</v>
      </c>
      <c r="CR312">
        <v>2</v>
      </c>
      <c r="CW312">
        <v>2177072</v>
      </c>
      <c r="CY312">
        <v>1</v>
      </c>
      <c r="CZ312">
        <v>0</v>
      </c>
      <c r="DA312">
        <v>1</v>
      </c>
      <c r="DB312">
        <v>0</v>
      </c>
      <c r="DC312">
        <v>0</v>
      </c>
      <c r="DD312">
        <v>0</v>
      </c>
      <c r="DE312">
        <v>0</v>
      </c>
      <c r="DF312">
        <v>0</v>
      </c>
      <c r="DG312">
        <v>0</v>
      </c>
      <c r="DH312">
        <v>0</v>
      </c>
      <c r="DI312">
        <v>0</v>
      </c>
    </row>
    <row r="313" spans="1:113" x14ac:dyDescent="0.3">
      <c r="A313" t="str">
        <f>"09/28/2021 13:53:06.556"</f>
        <v>09/28/2021 13:53:06.556</v>
      </c>
      <c r="C313" t="str">
        <f t="shared" si="17"/>
        <v>FFDFD3C0</v>
      </c>
      <c r="D313" t="s">
        <v>113</v>
      </c>
      <c r="E313">
        <v>7</v>
      </c>
      <c r="H313">
        <v>170</v>
      </c>
      <c r="I313" t="s">
        <v>114</v>
      </c>
      <c r="J313" t="s">
        <v>115</v>
      </c>
      <c r="K313">
        <v>0</v>
      </c>
      <c r="L313">
        <v>3</v>
      </c>
      <c r="M313">
        <v>0</v>
      </c>
      <c r="N313">
        <v>2</v>
      </c>
      <c r="O313">
        <v>1</v>
      </c>
      <c r="P313">
        <v>0</v>
      </c>
      <c r="Q313">
        <v>0</v>
      </c>
      <c r="S313" t="str">
        <f>"13:53:06.367"</f>
        <v>13:53:06.367</v>
      </c>
      <c r="T313" t="str">
        <f>"13:53:05.967"</f>
        <v>13:53:05.967</v>
      </c>
      <c r="U313" t="str">
        <f t="shared" si="16"/>
        <v>A92BC1</v>
      </c>
      <c r="V313">
        <v>0</v>
      </c>
      <c r="W313">
        <v>0</v>
      </c>
      <c r="X313">
        <v>2</v>
      </c>
      <c r="Z313">
        <v>0</v>
      </c>
      <c r="AA313">
        <v>9</v>
      </c>
      <c r="AB313">
        <v>3</v>
      </c>
      <c r="AC313">
        <v>0</v>
      </c>
      <c r="AD313">
        <v>10</v>
      </c>
      <c r="AE313">
        <v>0</v>
      </c>
      <c r="AF313">
        <v>3</v>
      </c>
      <c r="AG313">
        <v>2</v>
      </c>
      <c r="AH313">
        <v>0</v>
      </c>
      <c r="AI313" t="s">
        <v>414</v>
      </c>
      <c r="AJ313">
        <v>45.701022000000002</v>
      </c>
      <c r="AK313" t="s">
        <v>415</v>
      </c>
      <c r="AL313">
        <v>-89.430985000000007</v>
      </c>
      <c r="AM313">
        <v>100</v>
      </c>
      <c r="AN313">
        <v>7100</v>
      </c>
      <c r="AO313" t="s">
        <v>118</v>
      </c>
      <c r="AP313">
        <v>127</v>
      </c>
      <c r="AQ313">
        <v>100</v>
      </c>
      <c r="AR313">
        <v>1792</v>
      </c>
      <c r="AZ313">
        <v>1200</v>
      </c>
      <c r="BA313">
        <v>1</v>
      </c>
      <c r="BB313" t="str">
        <f t="shared" si="18"/>
        <v xml:space="preserve">N690LS  </v>
      </c>
      <c r="BC313">
        <v>1</v>
      </c>
      <c r="BE313">
        <v>0</v>
      </c>
      <c r="BF313">
        <v>0</v>
      </c>
      <c r="BG313">
        <v>0</v>
      </c>
      <c r="BH313">
        <v>7250</v>
      </c>
      <c r="BI313">
        <v>1</v>
      </c>
      <c r="BJ313">
        <v>1</v>
      </c>
      <c r="BK313">
        <v>1</v>
      </c>
      <c r="BL313">
        <v>0</v>
      </c>
      <c r="BO313">
        <v>0</v>
      </c>
      <c r="BP313">
        <v>0</v>
      </c>
      <c r="BW313" t="str">
        <f>"13:53:06.370"</f>
        <v>13:53:06.370</v>
      </c>
      <c r="CJ313">
        <v>0</v>
      </c>
      <c r="CK313">
        <v>2</v>
      </c>
      <c r="CL313">
        <v>0</v>
      </c>
      <c r="CM313">
        <v>2</v>
      </c>
      <c r="CN313">
        <v>0</v>
      </c>
      <c r="CO313">
        <v>7</v>
      </c>
      <c r="CP313" t="s">
        <v>119</v>
      </c>
      <c r="CQ313">
        <v>197</v>
      </c>
      <c r="CR313">
        <v>2</v>
      </c>
      <c r="CW313">
        <v>2230512</v>
      </c>
      <c r="CY313">
        <v>1</v>
      </c>
      <c r="CZ313">
        <v>0</v>
      </c>
      <c r="DA313">
        <v>0</v>
      </c>
      <c r="DB313">
        <v>0</v>
      </c>
      <c r="DC313">
        <v>0</v>
      </c>
      <c r="DD313">
        <v>0</v>
      </c>
      <c r="DE313">
        <v>0</v>
      </c>
      <c r="DF313">
        <v>0</v>
      </c>
      <c r="DG313">
        <v>0</v>
      </c>
      <c r="DH313">
        <v>0</v>
      </c>
      <c r="DI313">
        <v>0</v>
      </c>
    </row>
    <row r="314" spans="1:113" x14ac:dyDescent="0.3">
      <c r="A314" t="str">
        <f>"09/28/2021 13:53:06.635"</f>
        <v>09/28/2021 13:53:06.635</v>
      </c>
      <c r="C314" t="str">
        <f t="shared" si="17"/>
        <v>FFDFD3C0</v>
      </c>
      <c r="D314" t="s">
        <v>120</v>
      </c>
      <c r="E314">
        <v>12</v>
      </c>
      <c r="F314">
        <v>1012</v>
      </c>
      <c r="G314" t="s">
        <v>114</v>
      </c>
      <c r="J314" t="s">
        <v>121</v>
      </c>
      <c r="K314">
        <v>0</v>
      </c>
      <c r="L314">
        <v>3</v>
      </c>
      <c r="M314">
        <v>0</v>
      </c>
      <c r="N314">
        <v>2</v>
      </c>
      <c r="O314">
        <v>1</v>
      </c>
      <c r="P314">
        <v>0</v>
      </c>
      <c r="Q314">
        <v>0</v>
      </c>
      <c r="S314" t="str">
        <f>"13:53:06.367"</f>
        <v>13:53:06.367</v>
      </c>
      <c r="T314" t="str">
        <f>"13:53:05.967"</f>
        <v>13:53:05.967</v>
      </c>
      <c r="U314" t="str">
        <f t="shared" si="16"/>
        <v>A92BC1</v>
      </c>
      <c r="V314">
        <v>0</v>
      </c>
      <c r="W314">
        <v>0</v>
      </c>
      <c r="X314">
        <v>2</v>
      </c>
      <c r="Z314">
        <v>0</v>
      </c>
      <c r="AA314">
        <v>9</v>
      </c>
      <c r="AB314">
        <v>3</v>
      </c>
      <c r="AC314">
        <v>0</v>
      </c>
      <c r="AD314">
        <v>10</v>
      </c>
      <c r="AE314">
        <v>0</v>
      </c>
      <c r="AF314">
        <v>3</v>
      </c>
      <c r="AG314">
        <v>2</v>
      </c>
      <c r="AH314">
        <v>0</v>
      </c>
      <c r="AI314" t="s">
        <v>414</v>
      </c>
      <c r="AJ314">
        <v>45.701022000000002</v>
      </c>
      <c r="AK314" t="s">
        <v>415</v>
      </c>
      <c r="AL314">
        <v>-89.430985000000007</v>
      </c>
      <c r="AM314">
        <v>100</v>
      </c>
      <c r="AN314">
        <v>7100</v>
      </c>
      <c r="AO314" t="s">
        <v>118</v>
      </c>
      <c r="AP314">
        <v>127</v>
      </c>
      <c r="AQ314">
        <v>100</v>
      </c>
      <c r="AR314">
        <v>1792</v>
      </c>
      <c r="AZ314">
        <v>1200</v>
      </c>
      <c r="BA314">
        <v>1</v>
      </c>
      <c r="BB314" t="str">
        <f t="shared" si="18"/>
        <v xml:space="preserve">N690LS  </v>
      </c>
      <c r="BC314">
        <v>1</v>
      </c>
      <c r="BE314">
        <v>0</v>
      </c>
      <c r="BF314">
        <v>0</v>
      </c>
      <c r="BG314">
        <v>0</v>
      </c>
      <c r="BH314">
        <v>7250</v>
      </c>
      <c r="BI314">
        <v>1</v>
      </c>
      <c r="BJ314">
        <v>1</v>
      </c>
      <c r="BK314">
        <v>1</v>
      </c>
      <c r="BL314">
        <v>0</v>
      </c>
      <c r="BO314">
        <v>0</v>
      </c>
      <c r="BP314">
        <v>0</v>
      </c>
      <c r="BW314" t="str">
        <f>"13:53:06.370"</f>
        <v>13:53:06.370</v>
      </c>
      <c r="CJ314">
        <v>0</v>
      </c>
      <c r="CK314">
        <v>2</v>
      </c>
      <c r="CL314">
        <v>0</v>
      </c>
      <c r="CM314">
        <v>2</v>
      </c>
      <c r="CN314">
        <v>0</v>
      </c>
      <c r="CO314">
        <v>7</v>
      </c>
      <c r="CP314" t="s">
        <v>119</v>
      </c>
      <c r="CQ314">
        <v>197</v>
      </c>
      <c r="CR314">
        <v>2</v>
      </c>
      <c r="CW314">
        <v>2230512</v>
      </c>
      <c r="CY314">
        <v>1</v>
      </c>
      <c r="CZ314">
        <v>0</v>
      </c>
      <c r="DA314">
        <v>1</v>
      </c>
      <c r="DB314">
        <v>0</v>
      </c>
      <c r="DC314">
        <v>0</v>
      </c>
      <c r="DD314">
        <v>0</v>
      </c>
      <c r="DE314">
        <v>0</v>
      </c>
      <c r="DF314">
        <v>0</v>
      </c>
      <c r="DG314">
        <v>0</v>
      </c>
      <c r="DH314">
        <v>0</v>
      </c>
      <c r="DI314">
        <v>0</v>
      </c>
    </row>
    <row r="315" spans="1:113" x14ac:dyDescent="0.3">
      <c r="A315" t="str">
        <f>"09/28/2021 13:53:07.682"</f>
        <v>09/28/2021 13:53:07.682</v>
      </c>
      <c r="C315" t="str">
        <f t="shared" si="17"/>
        <v>FFDFD3C0</v>
      </c>
      <c r="D315" t="s">
        <v>120</v>
      </c>
      <c r="E315">
        <v>12</v>
      </c>
      <c r="F315">
        <v>1012</v>
      </c>
      <c r="G315" t="s">
        <v>114</v>
      </c>
      <c r="J315" t="s">
        <v>121</v>
      </c>
      <c r="K315">
        <v>0</v>
      </c>
      <c r="L315">
        <v>3</v>
      </c>
      <c r="M315">
        <v>0</v>
      </c>
      <c r="N315">
        <v>2</v>
      </c>
      <c r="O315">
        <v>1</v>
      </c>
      <c r="P315">
        <v>0</v>
      </c>
      <c r="Q315">
        <v>0</v>
      </c>
      <c r="S315" t="str">
        <f>"13:53:07.508"</f>
        <v>13:53:07.508</v>
      </c>
      <c r="T315" t="str">
        <f>"13:53:07.008"</f>
        <v>13:53:07.008</v>
      </c>
      <c r="U315" t="str">
        <f t="shared" si="16"/>
        <v>A92BC1</v>
      </c>
      <c r="V315">
        <v>0</v>
      </c>
      <c r="W315">
        <v>0</v>
      </c>
      <c r="X315">
        <v>2</v>
      </c>
      <c r="Z315">
        <v>0</v>
      </c>
      <c r="AA315">
        <v>9</v>
      </c>
      <c r="AB315">
        <v>3</v>
      </c>
      <c r="AC315">
        <v>0</v>
      </c>
      <c r="AD315">
        <v>10</v>
      </c>
      <c r="AE315">
        <v>0</v>
      </c>
      <c r="AF315">
        <v>3</v>
      </c>
      <c r="AG315">
        <v>2</v>
      </c>
      <c r="AH315">
        <v>0</v>
      </c>
      <c r="AI315" t="s">
        <v>416</v>
      </c>
      <c r="AJ315">
        <v>45.701537000000002</v>
      </c>
      <c r="AK315" t="s">
        <v>417</v>
      </c>
      <c r="AL315">
        <v>-89.430083999999994</v>
      </c>
      <c r="AM315">
        <v>100</v>
      </c>
      <c r="AN315">
        <v>7100</v>
      </c>
      <c r="AO315" t="s">
        <v>118</v>
      </c>
      <c r="AP315">
        <v>127</v>
      </c>
      <c r="AQ315">
        <v>101</v>
      </c>
      <c r="AR315">
        <v>1792</v>
      </c>
      <c r="AZ315">
        <v>1200</v>
      </c>
      <c r="BA315">
        <v>1</v>
      </c>
      <c r="BB315" t="str">
        <f t="shared" si="18"/>
        <v xml:space="preserve">N690LS  </v>
      </c>
      <c r="BC315">
        <v>1</v>
      </c>
      <c r="BE315">
        <v>0</v>
      </c>
      <c r="BF315">
        <v>0</v>
      </c>
      <c r="BG315">
        <v>0</v>
      </c>
      <c r="BH315">
        <v>7275</v>
      </c>
      <c r="BI315">
        <v>1</v>
      </c>
      <c r="BJ315">
        <v>1</v>
      </c>
      <c r="BK315">
        <v>1</v>
      </c>
      <c r="BL315">
        <v>0</v>
      </c>
      <c r="BO315">
        <v>0</v>
      </c>
      <c r="BP315">
        <v>0</v>
      </c>
      <c r="BW315" t="str">
        <f>"13:53:07.514"</f>
        <v>13:53:07.514</v>
      </c>
      <c r="CJ315">
        <v>0</v>
      </c>
      <c r="CK315">
        <v>2</v>
      </c>
      <c r="CL315">
        <v>0</v>
      </c>
      <c r="CM315">
        <v>2</v>
      </c>
      <c r="CN315">
        <v>0</v>
      </c>
      <c r="CO315">
        <v>5</v>
      </c>
      <c r="CP315" t="s">
        <v>119</v>
      </c>
      <c r="CQ315">
        <v>464</v>
      </c>
      <c r="CR315">
        <v>3</v>
      </c>
      <c r="CW315">
        <v>5396124</v>
      </c>
      <c r="CY315">
        <v>1</v>
      </c>
      <c r="CZ315">
        <v>0</v>
      </c>
      <c r="DA315">
        <v>0</v>
      </c>
      <c r="DB315">
        <v>0</v>
      </c>
      <c r="DC315">
        <v>0</v>
      </c>
      <c r="DD315">
        <v>0</v>
      </c>
      <c r="DE315">
        <v>0</v>
      </c>
      <c r="DF315">
        <v>0</v>
      </c>
      <c r="DG315">
        <v>0</v>
      </c>
      <c r="DH315">
        <v>0</v>
      </c>
      <c r="DI315">
        <v>0</v>
      </c>
    </row>
    <row r="316" spans="1:113" x14ac:dyDescent="0.3">
      <c r="A316" t="str">
        <f>"09/28/2021 13:53:07.713"</f>
        <v>09/28/2021 13:53:07.713</v>
      </c>
      <c r="C316" t="str">
        <f t="shared" si="17"/>
        <v>FFDFD3C0</v>
      </c>
      <c r="D316" t="s">
        <v>113</v>
      </c>
      <c r="E316">
        <v>7</v>
      </c>
      <c r="H316">
        <v>170</v>
      </c>
      <c r="I316" t="s">
        <v>114</v>
      </c>
      <c r="J316" t="s">
        <v>115</v>
      </c>
      <c r="K316">
        <v>0</v>
      </c>
      <c r="L316">
        <v>3</v>
      </c>
      <c r="M316">
        <v>0</v>
      </c>
      <c r="N316">
        <v>2</v>
      </c>
      <c r="O316">
        <v>1</v>
      </c>
      <c r="P316">
        <v>0</v>
      </c>
      <c r="Q316">
        <v>0</v>
      </c>
      <c r="S316" t="str">
        <f>"13:53:07.508"</f>
        <v>13:53:07.508</v>
      </c>
      <c r="T316" t="str">
        <f>"13:53:07.008"</f>
        <v>13:53:07.008</v>
      </c>
      <c r="U316" t="str">
        <f t="shared" si="16"/>
        <v>A92BC1</v>
      </c>
      <c r="V316">
        <v>0</v>
      </c>
      <c r="W316">
        <v>0</v>
      </c>
      <c r="X316">
        <v>2</v>
      </c>
      <c r="Z316">
        <v>0</v>
      </c>
      <c r="AA316">
        <v>9</v>
      </c>
      <c r="AB316">
        <v>3</v>
      </c>
      <c r="AC316">
        <v>0</v>
      </c>
      <c r="AD316">
        <v>10</v>
      </c>
      <c r="AE316">
        <v>0</v>
      </c>
      <c r="AF316">
        <v>3</v>
      </c>
      <c r="AG316">
        <v>2</v>
      </c>
      <c r="AH316">
        <v>0</v>
      </c>
      <c r="AI316" t="s">
        <v>416</v>
      </c>
      <c r="AJ316">
        <v>45.701537000000002</v>
      </c>
      <c r="AK316" t="s">
        <v>417</v>
      </c>
      <c r="AL316">
        <v>-89.430083999999994</v>
      </c>
      <c r="AM316">
        <v>100</v>
      </c>
      <c r="AN316">
        <v>7100</v>
      </c>
      <c r="AO316" t="s">
        <v>118</v>
      </c>
      <c r="AP316">
        <v>127</v>
      </c>
      <c r="AQ316">
        <v>101</v>
      </c>
      <c r="AR316">
        <v>1792</v>
      </c>
      <c r="AZ316">
        <v>1200</v>
      </c>
      <c r="BA316">
        <v>1</v>
      </c>
      <c r="BB316" t="str">
        <f t="shared" si="18"/>
        <v xml:space="preserve">N690LS  </v>
      </c>
      <c r="BC316">
        <v>1</v>
      </c>
      <c r="BE316">
        <v>0</v>
      </c>
      <c r="BF316">
        <v>0</v>
      </c>
      <c r="BG316">
        <v>0</v>
      </c>
      <c r="BH316">
        <v>7275</v>
      </c>
      <c r="BI316">
        <v>1</v>
      </c>
      <c r="BJ316">
        <v>1</v>
      </c>
      <c r="BK316">
        <v>1</v>
      </c>
      <c r="BL316">
        <v>0</v>
      </c>
      <c r="BO316">
        <v>0</v>
      </c>
      <c r="BP316">
        <v>0</v>
      </c>
      <c r="BW316" t="str">
        <f>"13:53:07.514"</f>
        <v>13:53:07.514</v>
      </c>
      <c r="CJ316">
        <v>0</v>
      </c>
      <c r="CK316">
        <v>2</v>
      </c>
      <c r="CL316">
        <v>0</v>
      </c>
      <c r="CM316">
        <v>2</v>
      </c>
      <c r="CN316">
        <v>0</v>
      </c>
      <c r="CO316">
        <v>5</v>
      </c>
      <c r="CP316" t="s">
        <v>119</v>
      </c>
      <c r="CQ316">
        <v>210</v>
      </c>
      <c r="CR316">
        <v>2</v>
      </c>
      <c r="CW316">
        <v>2178269</v>
      </c>
      <c r="CY316">
        <v>1</v>
      </c>
      <c r="CZ316">
        <v>0</v>
      </c>
      <c r="DA316">
        <v>1</v>
      </c>
      <c r="DB316">
        <v>0</v>
      </c>
      <c r="DC316">
        <v>0</v>
      </c>
      <c r="DD316">
        <v>0</v>
      </c>
      <c r="DE316">
        <v>0</v>
      </c>
      <c r="DF316">
        <v>0</v>
      </c>
      <c r="DG316">
        <v>0</v>
      </c>
      <c r="DH316">
        <v>0</v>
      </c>
      <c r="DI316">
        <v>0</v>
      </c>
    </row>
    <row r="317" spans="1:113" x14ac:dyDescent="0.3">
      <c r="A317" t="str">
        <f>"09/28/2021 13:53:08.730"</f>
        <v>09/28/2021 13:53:08.730</v>
      </c>
      <c r="C317" t="str">
        <f t="shared" si="17"/>
        <v>FFDFD3C0</v>
      </c>
      <c r="D317" t="s">
        <v>113</v>
      </c>
      <c r="E317">
        <v>7</v>
      </c>
      <c r="H317">
        <v>170</v>
      </c>
      <c r="I317" t="s">
        <v>114</v>
      </c>
      <c r="J317" t="s">
        <v>115</v>
      </c>
      <c r="K317">
        <v>0</v>
      </c>
      <c r="L317">
        <v>3</v>
      </c>
      <c r="M317">
        <v>0</v>
      </c>
      <c r="N317">
        <v>2</v>
      </c>
      <c r="O317">
        <v>1</v>
      </c>
      <c r="P317">
        <v>0</v>
      </c>
      <c r="Q317">
        <v>0</v>
      </c>
      <c r="S317" t="str">
        <f>"13:53:08.539"</f>
        <v>13:53:08.539</v>
      </c>
      <c r="T317" t="str">
        <f>"13:53:08.039"</f>
        <v>13:53:08.039</v>
      </c>
      <c r="U317" t="str">
        <f t="shared" si="16"/>
        <v>A92BC1</v>
      </c>
      <c r="V317">
        <v>0</v>
      </c>
      <c r="W317">
        <v>0</v>
      </c>
      <c r="X317">
        <v>2</v>
      </c>
      <c r="Z317">
        <v>0</v>
      </c>
      <c r="AA317">
        <v>9</v>
      </c>
      <c r="AB317">
        <v>3</v>
      </c>
      <c r="AC317">
        <v>0</v>
      </c>
      <c r="AD317">
        <v>10</v>
      </c>
      <c r="AE317">
        <v>0</v>
      </c>
      <c r="AF317">
        <v>3</v>
      </c>
      <c r="AG317">
        <v>2</v>
      </c>
      <c r="AH317">
        <v>0</v>
      </c>
      <c r="AI317" t="s">
        <v>418</v>
      </c>
      <c r="AJ317">
        <v>45.702074000000003</v>
      </c>
      <c r="AK317" t="s">
        <v>419</v>
      </c>
      <c r="AL317">
        <v>-89.429182999999995</v>
      </c>
      <c r="AM317">
        <v>100</v>
      </c>
      <c r="AN317">
        <v>7200</v>
      </c>
      <c r="AO317" t="s">
        <v>118</v>
      </c>
      <c r="AP317">
        <v>127</v>
      </c>
      <c r="AQ317">
        <v>101</v>
      </c>
      <c r="AR317">
        <v>1792</v>
      </c>
      <c r="AZ317">
        <v>1200</v>
      </c>
      <c r="BA317">
        <v>1</v>
      </c>
      <c r="BB317" t="str">
        <f t="shared" si="18"/>
        <v xml:space="preserve">N690LS  </v>
      </c>
      <c r="BC317">
        <v>1</v>
      </c>
      <c r="BE317">
        <v>0</v>
      </c>
      <c r="BF317">
        <v>0</v>
      </c>
      <c r="BG317">
        <v>0</v>
      </c>
      <c r="BH317">
        <v>7300</v>
      </c>
      <c r="BI317">
        <v>1</v>
      </c>
      <c r="BJ317">
        <v>1</v>
      </c>
      <c r="BK317">
        <v>1</v>
      </c>
      <c r="BL317">
        <v>0</v>
      </c>
      <c r="BO317">
        <v>0</v>
      </c>
      <c r="BP317">
        <v>0</v>
      </c>
      <c r="BW317" t="str">
        <f>"13:53:08.546"</f>
        <v>13:53:08.546</v>
      </c>
      <c r="CJ317">
        <v>0</v>
      </c>
      <c r="CK317">
        <v>2</v>
      </c>
      <c r="CL317">
        <v>0</v>
      </c>
      <c r="CM317">
        <v>2</v>
      </c>
      <c r="CN317">
        <v>0</v>
      </c>
      <c r="CO317">
        <v>5</v>
      </c>
      <c r="CP317" t="s">
        <v>119</v>
      </c>
      <c r="CQ317">
        <v>209</v>
      </c>
      <c r="CR317">
        <v>3</v>
      </c>
      <c r="CW317">
        <v>7161261</v>
      </c>
      <c r="CY317">
        <v>1</v>
      </c>
      <c r="CZ317">
        <v>0</v>
      </c>
      <c r="DA317">
        <v>0</v>
      </c>
      <c r="DB317">
        <v>0</v>
      </c>
      <c r="DC317">
        <v>0</v>
      </c>
      <c r="DD317">
        <v>0</v>
      </c>
      <c r="DE317">
        <v>0</v>
      </c>
      <c r="DF317">
        <v>0</v>
      </c>
      <c r="DG317">
        <v>0</v>
      </c>
      <c r="DH317">
        <v>0</v>
      </c>
      <c r="DI317">
        <v>0</v>
      </c>
    </row>
    <row r="318" spans="1:113" x14ac:dyDescent="0.3">
      <c r="A318" t="str">
        <f>"09/28/2021 13:53:08.776"</f>
        <v>09/28/2021 13:53:08.776</v>
      </c>
      <c r="C318" t="str">
        <f t="shared" si="17"/>
        <v>FFDFD3C0</v>
      </c>
      <c r="D318" t="s">
        <v>120</v>
      </c>
      <c r="E318">
        <v>12</v>
      </c>
      <c r="F318">
        <v>1012</v>
      </c>
      <c r="G318" t="s">
        <v>114</v>
      </c>
      <c r="J318" t="s">
        <v>121</v>
      </c>
      <c r="K318">
        <v>0</v>
      </c>
      <c r="L318">
        <v>3</v>
      </c>
      <c r="M318">
        <v>0</v>
      </c>
      <c r="N318">
        <v>2</v>
      </c>
      <c r="O318">
        <v>1</v>
      </c>
      <c r="P318">
        <v>0</v>
      </c>
      <c r="Q318">
        <v>0</v>
      </c>
      <c r="S318" t="str">
        <f>"13:53:08.539"</f>
        <v>13:53:08.539</v>
      </c>
      <c r="T318" t="str">
        <f>"13:53:08.039"</f>
        <v>13:53:08.039</v>
      </c>
      <c r="U318" t="str">
        <f t="shared" si="16"/>
        <v>A92BC1</v>
      </c>
      <c r="V318">
        <v>0</v>
      </c>
      <c r="W318">
        <v>0</v>
      </c>
      <c r="X318">
        <v>2</v>
      </c>
      <c r="Z318">
        <v>0</v>
      </c>
      <c r="AA318">
        <v>9</v>
      </c>
      <c r="AB318">
        <v>3</v>
      </c>
      <c r="AC318">
        <v>0</v>
      </c>
      <c r="AD318">
        <v>10</v>
      </c>
      <c r="AE318">
        <v>0</v>
      </c>
      <c r="AF318">
        <v>3</v>
      </c>
      <c r="AG318">
        <v>2</v>
      </c>
      <c r="AH318">
        <v>0</v>
      </c>
      <c r="AI318" t="s">
        <v>418</v>
      </c>
      <c r="AJ318">
        <v>45.702074000000003</v>
      </c>
      <c r="AK318" t="s">
        <v>419</v>
      </c>
      <c r="AL318">
        <v>-89.429182999999995</v>
      </c>
      <c r="AM318">
        <v>100</v>
      </c>
      <c r="AN318">
        <v>7200</v>
      </c>
      <c r="AO318" t="s">
        <v>118</v>
      </c>
      <c r="AP318">
        <v>127</v>
      </c>
      <c r="AQ318">
        <v>101</v>
      </c>
      <c r="AR318">
        <v>1792</v>
      </c>
      <c r="AZ318">
        <v>1200</v>
      </c>
      <c r="BA318">
        <v>1</v>
      </c>
      <c r="BB318" t="str">
        <f t="shared" si="18"/>
        <v xml:space="preserve">N690LS  </v>
      </c>
      <c r="BC318">
        <v>1</v>
      </c>
      <c r="BE318">
        <v>0</v>
      </c>
      <c r="BF318">
        <v>0</v>
      </c>
      <c r="BG318">
        <v>0</v>
      </c>
      <c r="BH318">
        <v>7300</v>
      </c>
      <c r="BI318">
        <v>1</v>
      </c>
      <c r="BJ318">
        <v>1</v>
      </c>
      <c r="BK318">
        <v>1</v>
      </c>
      <c r="BL318">
        <v>0</v>
      </c>
      <c r="BO318">
        <v>0</v>
      </c>
      <c r="BP318">
        <v>0</v>
      </c>
      <c r="BW318" t="str">
        <f>"13:53:08.546"</f>
        <v>13:53:08.546</v>
      </c>
      <c r="CJ318">
        <v>0</v>
      </c>
      <c r="CK318">
        <v>2</v>
      </c>
      <c r="CL318">
        <v>0</v>
      </c>
      <c r="CM318">
        <v>2</v>
      </c>
      <c r="CN318">
        <v>0</v>
      </c>
      <c r="CO318">
        <v>5</v>
      </c>
      <c r="CP318" t="s">
        <v>119</v>
      </c>
      <c r="CQ318">
        <v>209</v>
      </c>
      <c r="CR318">
        <v>3</v>
      </c>
      <c r="CW318">
        <v>7161261</v>
      </c>
      <c r="CY318">
        <v>1</v>
      </c>
      <c r="CZ318">
        <v>0</v>
      </c>
      <c r="DA318">
        <v>1</v>
      </c>
      <c r="DB318">
        <v>0</v>
      </c>
      <c r="DC318">
        <v>0</v>
      </c>
      <c r="DD318">
        <v>0</v>
      </c>
      <c r="DE318">
        <v>0</v>
      </c>
      <c r="DF318">
        <v>0</v>
      </c>
      <c r="DG318">
        <v>0</v>
      </c>
      <c r="DH318">
        <v>0</v>
      </c>
      <c r="DI318">
        <v>0</v>
      </c>
    </row>
    <row r="319" spans="1:113" x14ac:dyDescent="0.3">
      <c r="A319" t="str">
        <f>"09/28/2021 13:53:09.683"</f>
        <v>09/28/2021 13:53:09.683</v>
      </c>
      <c r="C319" t="str">
        <f t="shared" si="17"/>
        <v>FFDFD3C0</v>
      </c>
      <c r="D319" t="s">
        <v>113</v>
      </c>
      <c r="E319">
        <v>7</v>
      </c>
      <c r="H319">
        <v>170</v>
      </c>
      <c r="I319" t="s">
        <v>114</v>
      </c>
      <c r="J319" t="s">
        <v>115</v>
      </c>
      <c r="K319">
        <v>0</v>
      </c>
      <c r="L319">
        <v>3</v>
      </c>
      <c r="M319">
        <v>0</v>
      </c>
      <c r="N319">
        <v>2</v>
      </c>
      <c r="O319">
        <v>1</v>
      </c>
      <c r="P319">
        <v>0</v>
      </c>
      <c r="Q319">
        <v>0</v>
      </c>
      <c r="S319" t="str">
        <f>"13:53:09.516"</f>
        <v>13:53:09.516</v>
      </c>
      <c r="T319" t="str">
        <f>"13:53:09.116"</f>
        <v>13:53:09.116</v>
      </c>
      <c r="U319" t="str">
        <f t="shared" si="16"/>
        <v>A92BC1</v>
      </c>
      <c r="V319">
        <v>0</v>
      </c>
      <c r="W319">
        <v>0</v>
      </c>
      <c r="X319">
        <v>2</v>
      </c>
      <c r="Z319">
        <v>0</v>
      </c>
      <c r="AA319">
        <v>9</v>
      </c>
      <c r="AB319">
        <v>3</v>
      </c>
      <c r="AC319">
        <v>0</v>
      </c>
      <c r="AD319">
        <v>10</v>
      </c>
      <c r="AE319">
        <v>0</v>
      </c>
      <c r="AF319">
        <v>3</v>
      </c>
      <c r="AG319">
        <v>2</v>
      </c>
      <c r="AH319">
        <v>0</v>
      </c>
      <c r="AI319" t="s">
        <v>420</v>
      </c>
      <c r="AJ319">
        <v>45.702480999999999</v>
      </c>
      <c r="AK319" t="s">
        <v>421</v>
      </c>
      <c r="AL319">
        <v>-89.428432000000001</v>
      </c>
      <c r="AM319">
        <v>100</v>
      </c>
      <c r="AN319">
        <v>7200</v>
      </c>
      <c r="AO319" t="s">
        <v>118</v>
      </c>
      <c r="AP319">
        <v>127</v>
      </c>
      <c r="AQ319">
        <v>101</v>
      </c>
      <c r="AR319">
        <v>1792</v>
      </c>
      <c r="AZ319">
        <v>1200</v>
      </c>
      <c r="BA319">
        <v>1</v>
      </c>
      <c r="BB319" t="str">
        <f t="shared" si="18"/>
        <v xml:space="preserve">N690LS  </v>
      </c>
      <c r="BC319">
        <v>1</v>
      </c>
      <c r="BE319">
        <v>0</v>
      </c>
      <c r="BF319">
        <v>0</v>
      </c>
      <c r="BG319">
        <v>0</v>
      </c>
      <c r="BH319">
        <v>7350</v>
      </c>
      <c r="BI319">
        <v>1</v>
      </c>
      <c r="BJ319">
        <v>1</v>
      </c>
      <c r="BK319">
        <v>1</v>
      </c>
      <c r="BL319">
        <v>0</v>
      </c>
      <c r="BO319">
        <v>0</v>
      </c>
      <c r="BP319">
        <v>0</v>
      </c>
      <c r="BW319" t="str">
        <f>"13:53:09.517"</f>
        <v>13:53:09.517</v>
      </c>
      <c r="CJ319">
        <v>0</v>
      </c>
      <c r="CK319">
        <v>2</v>
      </c>
      <c r="CL319">
        <v>0</v>
      </c>
      <c r="CM319">
        <v>2</v>
      </c>
      <c r="CN319">
        <v>0</v>
      </c>
      <c r="CO319">
        <v>7</v>
      </c>
      <c r="CP319" t="s">
        <v>119</v>
      </c>
      <c r="CQ319">
        <v>197</v>
      </c>
      <c r="CR319">
        <v>2</v>
      </c>
      <c r="CW319">
        <v>2233191</v>
      </c>
      <c r="CY319">
        <v>1</v>
      </c>
      <c r="CZ319">
        <v>0</v>
      </c>
      <c r="DA319">
        <v>0</v>
      </c>
      <c r="DB319">
        <v>0</v>
      </c>
      <c r="DC319">
        <v>0</v>
      </c>
      <c r="DD319">
        <v>0</v>
      </c>
      <c r="DE319">
        <v>0</v>
      </c>
      <c r="DF319">
        <v>0</v>
      </c>
      <c r="DG319">
        <v>0</v>
      </c>
      <c r="DH319">
        <v>0</v>
      </c>
      <c r="DI319">
        <v>0</v>
      </c>
    </row>
    <row r="320" spans="1:113" x14ac:dyDescent="0.3">
      <c r="A320" t="str">
        <f>"09/28/2021 13:53:09.698"</f>
        <v>09/28/2021 13:53:09.698</v>
      </c>
      <c r="C320" t="str">
        <f t="shared" si="17"/>
        <v>FFDFD3C0</v>
      </c>
      <c r="D320" t="s">
        <v>120</v>
      </c>
      <c r="E320">
        <v>12</v>
      </c>
      <c r="F320">
        <v>1012</v>
      </c>
      <c r="G320" t="s">
        <v>114</v>
      </c>
      <c r="J320" t="s">
        <v>121</v>
      </c>
      <c r="K320">
        <v>0</v>
      </c>
      <c r="L320">
        <v>3</v>
      </c>
      <c r="M320">
        <v>0</v>
      </c>
      <c r="N320">
        <v>2</v>
      </c>
      <c r="O320">
        <v>1</v>
      </c>
      <c r="P320">
        <v>0</v>
      </c>
      <c r="Q320">
        <v>0</v>
      </c>
      <c r="S320" t="str">
        <f>"13:53:09.516"</f>
        <v>13:53:09.516</v>
      </c>
      <c r="T320" t="str">
        <f>"13:53:09.116"</f>
        <v>13:53:09.116</v>
      </c>
      <c r="U320" t="str">
        <f t="shared" si="16"/>
        <v>A92BC1</v>
      </c>
      <c r="V320">
        <v>0</v>
      </c>
      <c r="W320">
        <v>0</v>
      </c>
      <c r="X320">
        <v>2</v>
      </c>
      <c r="Z320">
        <v>0</v>
      </c>
      <c r="AA320">
        <v>9</v>
      </c>
      <c r="AB320">
        <v>3</v>
      </c>
      <c r="AC320">
        <v>0</v>
      </c>
      <c r="AD320">
        <v>10</v>
      </c>
      <c r="AE320">
        <v>0</v>
      </c>
      <c r="AF320">
        <v>3</v>
      </c>
      <c r="AG320">
        <v>2</v>
      </c>
      <c r="AH320">
        <v>0</v>
      </c>
      <c r="AI320" t="s">
        <v>420</v>
      </c>
      <c r="AJ320">
        <v>45.702480999999999</v>
      </c>
      <c r="AK320" t="s">
        <v>421</v>
      </c>
      <c r="AL320">
        <v>-89.428432000000001</v>
      </c>
      <c r="AM320">
        <v>100</v>
      </c>
      <c r="AN320">
        <v>7200</v>
      </c>
      <c r="AO320" t="s">
        <v>118</v>
      </c>
      <c r="AP320">
        <v>127</v>
      </c>
      <c r="AQ320">
        <v>101</v>
      </c>
      <c r="AR320">
        <v>1792</v>
      </c>
      <c r="AZ320">
        <v>1200</v>
      </c>
      <c r="BA320">
        <v>1</v>
      </c>
      <c r="BB320" t="str">
        <f t="shared" si="18"/>
        <v xml:space="preserve">N690LS  </v>
      </c>
      <c r="BC320">
        <v>1</v>
      </c>
      <c r="BE320">
        <v>0</v>
      </c>
      <c r="BF320">
        <v>0</v>
      </c>
      <c r="BG320">
        <v>0</v>
      </c>
      <c r="BH320">
        <v>7350</v>
      </c>
      <c r="BI320">
        <v>1</v>
      </c>
      <c r="BJ320">
        <v>1</v>
      </c>
      <c r="BK320">
        <v>1</v>
      </c>
      <c r="BL320">
        <v>0</v>
      </c>
      <c r="BO320">
        <v>0</v>
      </c>
      <c r="BP320">
        <v>0</v>
      </c>
      <c r="BW320" t="str">
        <f>"13:53:09.517"</f>
        <v>13:53:09.517</v>
      </c>
      <c r="CJ320">
        <v>0</v>
      </c>
      <c r="CK320">
        <v>2</v>
      </c>
      <c r="CL320">
        <v>0</v>
      </c>
      <c r="CM320">
        <v>2</v>
      </c>
      <c r="CN320">
        <v>0</v>
      </c>
      <c r="CO320">
        <v>7</v>
      </c>
      <c r="CP320" t="s">
        <v>119</v>
      </c>
      <c r="CQ320">
        <v>197</v>
      </c>
      <c r="CR320">
        <v>2</v>
      </c>
      <c r="CW320">
        <v>2233191</v>
      </c>
      <c r="CY320">
        <v>1</v>
      </c>
      <c r="CZ320">
        <v>0</v>
      </c>
      <c r="DA320">
        <v>1</v>
      </c>
      <c r="DB320">
        <v>0</v>
      </c>
      <c r="DC320">
        <v>0</v>
      </c>
      <c r="DD320">
        <v>0</v>
      </c>
      <c r="DE320">
        <v>0</v>
      </c>
      <c r="DF320">
        <v>0</v>
      </c>
      <c r="DG320">
        <v>0</v>
      </c>
      <c r="DH320">
        <v>0</v>
      </c>
      <c r="DI320">
        <v>0</v>
      </c>
    </row>
    <row r="321" spans="1:113" x14ac:dyDescent="0.3">
      <c r="A321" t="str">
        <f>"09/28/2021 13:53:10.605"</f>
        <v>09/28/2021 13:53:10.605</v>
      </c>
      <c r="C321" t="str">
        <f t="shared" si="17"/>
        <v>FFDFD3C0</v>
      </c>
      <c r="D321" t="s">
        <v>113</v>
      </c>
      <c r="E321">
        <v>7</v>
      </c>
      <c r="H321">
        <v>170</v>
      </c>
      <c r="I321" t="s">
        <v>114</v>
      </c>
      <c r="J321" t="s">
        <v>115</v>
      </c>
      <c r="K321">
        <v>0</v>
      </c>
      <c r="L321">
        <v>3</v>
      </c>
      <c r="M321">
        <v>0</v>
      </c>
      <c r="N321">
        <v>2</v>
      </c>
      <c r="O321">
        <v>1</v>
      </c>
      <c r="P321">
        <v>0</v>
      </c>
      <c r="Q321">
        <v>0</v>
      </c>
      <c r="S321" t="str">
        <f>"13:53:10.383"</f>
        <v>13:53:10.383</v>
      </c>
      <c r="T321" t="str">
        <f>"13:53:09.983"</f>
        <v>13:53:09.983</v>
      </c>
      <c r="U321" t="str">
        <f t="shared" si="16"/>
        <v>A92BC1</v>
      </c>
      <c r="V321">
        <v>0</v>
      </c>
      <c r="W321">
        <v>0</v>
      </c>
      <c r="X321">
        <v>2</v>
      </c>
      <c r="Z321">
        <v>0</v>
      </c>
      <c r="AA321">
        <v>9</v>
      </c>
      <c r="AB321">
        <v>3</v>
      </c>
      <c r="AC321">
        <v>0</v>
      </c>
      <c r="AD321">
        <v>10</v>
      </c>
      <c r="AE321">
        <v>0</v>
      </c>
      <c r="AF321">
        <v>3</v>
      </c>
      <c r="AG321">
        <v>2</v>
      </c>
      <c r="AH321">
        <v>0</v>
      </c>
      <c r="AI321" t="s">
        <v>422</v>
      </c>
      <c r="AJ321">
        <v>45.702888999999999</v>
      </c>
      <c r="AK321" t="s">
        <v>423</v>
      </c>
      <c r="AL321">
        <v>-89.427638000000002</v>
      </c>
      <c r="AM321">
        <v>100</v>
      </c>
      <c r="AN321">
        <v>7200</v>
      </c>
      <c r="AO321" t="s">
        <v>118</v>
      </c>
      <c r="AP321">
        <v>128</v>
      </c>
      <c r="AQ321">
        <v>101</v>
      </c>
      <c r="AR321">
        <v>1792</v>
      </c>
      <c r="AZ321">
        <v>1200</v>
      </c>
      <c r="BA321">
        <v>1</v>
      </c>
      <c r="BB321" t="str">
        <f t="shared" si="18"/>
        <v xml:space="preserve">N690LS  </v>
      </c>
      <c r="BC321">
        <v>1</v>
      </c>
      <c r="BE321">
        <v>0</v>
      </c>
      <c r="BF321">
        <v>0</v>
      </c>
      <c r="BG321">
        <v>0</v>
      </c>
      <c r="BH321">
        <v>7375</v>
      </c>
      <c r="BI321">
        <v>1</v>
      </c>
      <c r="BJ321">
        <v>1</v>
      </c>
      <c r="BK321">
        <v>1</v>
      </c>
      <c r="BL321">
        <v>0</v>
      </c>
      <c r="BO321">
        <v>0</v>
      </c>
      <c r="BP321">
        <v>0</v>
      </c>
      <c r="BW321" t="str">
        <f>"13:53:10.389"</f>
        <v>13:53:10.389</v>
      </c>
      <c r="CJ321">
        <v>0</v>
      </c>
      <c r="CK321">
        <v>2</v>
      </c>
      <c r="CL321">
        <v>0</v>
      </c>
      <c r="CM321">
        <v>2</v>
      </c>
      <c r="CN321">
        <v>0</v>
      </c>
      <c r="CO321">
        <v>5</v>
      </c>
      <c r="CP321" t="s">
        <v>119</v>
      </c>
      <c r="CQ321">
        <v>209</v>
      </c>
      <c r="CR321">
        <v>3</v>
      </c>
      <c r="CW321">
        <v>7161922</v>
      </c>
      <c r="CY321">
        <v>1</v>
      </c>
      <c r="CZ321">
        <v>0</v>
      </c>
      <c r="DA321">
        <v>0</v>
      </c>
      <c r="DB321">
        <v>0</v>
      </c>
      <c r="DC321">
        <v>0</v>
      </c>
      <c r="DD321">
        <v>0</v>
      </c>
      <c r="DE321">
        <v>0</v>
      </c>
      <c r="DF321">
        <v>0</v>
      </c>
      <c r="DG321">
        <v>0</v>
      </c>
      <c r="DH321">
        <v>0</v>
      </c>
      <c r="DI321">
        <v>0</v>
      </c>
    </row>
    <row r="322" spans="1:113" x14ac:dyDescent="0.3">
      <c r="A322" t="str">
        <f>"09/28/2021 13:53:10.605"</f>
        <v>09/28/2021 13:53:10.605</v>
      </c>
      <c r="C322" t="str">
        <f t="shared" si="17"/>
        <v>FFDFD3C0</v>
      </c>
      <c r="D322" t="s">
        <v>120</v>
      </c>
      <c r="E322">
        <v>12</v>
      </c>
      <c r="F322">
        <v>1012</v>
      </c>
      <c r="G322" t="s">
        <v>114</v>
      </c>
      <c r="J322" t="s">
        <v>121</v>
      </c>
      <c r="K322">
        <v>0</v>
      </c>
      <c r="L322">
        <v>3</v>
      </c>
      <c r="M322">
        <v>0</v>
      </c>
      <c r="N322">
        <v>2</v>
      </c>
      <c r="O322">
        <v>1</v>
      </c>
      <c r="P322">
        <v>0</v>
      </c>
      <c r="Q322">
        <v>0</v>
      </c>
      <c r="S322" t="str">
        <f>"13:53:10.383"</f>
        <v>13:53:10.383</v>
      </c>
      <c r="T322" t="str">
        <f>"13:53:09.983"</f>
        <v>13:53:09.983</v>
      </c>
      <c r="U322" t="str">
        <f t="shared" ref="U322:U385" si="19">"A92BC1"</f>
        <v>A92BC1</v>
      </c>
      <c r="V322">
        <v>0</v>
      </c>
      <c r="W322">
        <v>0</v>
      </c>
      <c r="X322">
        <v>2</v>
      </c>
      <c r="Z322">
        <v>0</v>
      </c>
      <c r="AA322">
        <v>9</v>
      </c>
      <c r="AB322">
        <v>3</v>
      </c>
      <c r="AC322">
        <v>0</v>
      </c>
      <c r="AD322">
        <v>10</v>
      </c>
      <c r="AE322">
        <v>0</v>
      </c>
      <c r="AF322">
        <v>3</v>
      </c>
      <c r="AG322">
        <v>2</v>
      </c>
      <c r="AH322">
        <v>0</v>
      </c>
      <c r="AI322" t="s">
        <v>422</v>
      </c>
      <c r="AJ322">
        <v>45.702888999999999</v>
      </c>
      <c r="AK322" t="s">
        <v>423</v>
      </c>
      <c r="AL322">
        <v>-89.427638000000002</v>
      </c>
      <c r="AM322">
        <v>100</v>
      </c>
      <c r="AN322">
        <v>7200</v>
      </c>
      <c r="AO322" t="s">
        <v>118</v>
      </c>
      <c r="AP322">
        <v>128</v>
      </c>
      <c r="AQ322">
        <v>101</v>
      </c>
      <c r="AR322">
        <v>1792</v>
      </c>
      <c r="AZ322">
        <v>1200</v>
      </c>
      <c r="BA322">
        <v>1</v>
      </c>
      <c r="BB322" t="str">
        <f t="shared" si="18"/>
        <v xml:space="preserve">N690LS  </v>
      </c>
      <c r="BC322">
        <v>1</v>
      </c>
      <c r="BE322">
        <v>0</v>
      </c>
      <c r="BF322">
        <v>0</v>
      </c>
      <c r="BG322">
        <v>0</v>
      </c>
      <c r="BH322">
        <v>7375</v>
      </c>
      <c r="BI322">
        <v>1</v>
      </c>
      <c r="BJ322">
        <v>1</v>
      </c>
      <c r="BK322">
        <v>1</v>
      </c>
      <c r="BL322">
        <v>0</v>
      </c>
      <c r="BO322">
        <v>0</v>
      </c>
      <c r="BP322">
        <v>0</v>
      </c>
      <c r="BW322" t="str">
        <f>"13:53:10.389"</f>
        <v>13:53:10.389</v>
      </c>
      <c r="CJ322">
        <v>0</v>
      </c>
      <c r="CK322">
        <v>2</v>
      </c>
      <c r="CL322">
        <v>0</v>
      </c>
      <c r="CM322">
        <v>2</v>
      </c>
      <c r="CN322">
        <v>0</v>
      </c>
      <c r="CO322">
        <v>5</v>
      </c>
      <c r="CP322" t="s">
        <v>119</v>
      </c>
      <c r="CQ322">
        <v>209</v>
      </c>
      <c r="CR322">
        <v>3</v>
      </c>
      <c r="CW322">
        <v>7161922</v>
      </c>
      <c r="CY322">
        <v>1</v>
      </c>
      <c r="CZ322">
        <v>0</v>
      </c>
      <c r="DA322">
        <v>1</v>
      </c>
      <c r="DB322">
        <v>0</v>
      </c>
      <c r="DC322">
        <v>0</v>
      </c>
      <c r="DD322">
        <v>0</v>
      </c>
      <c r="DE322">
        <v>0</v>
      </c>
      <c r="DF322">
        <v>0</v>
      </c>
      <c r="DG322">
        <v>0</v>
      </c>
      <c r="DH322">
        <v>0</v>
      </c>
      <c r="DI322">
        <v>0</v>
      </c>
    </row>
    <row r="323" spans="1:113" x14ac:dyDescent="0.3">
      <c r="A323" t="str">
        <f>"09/28/2021 13:53:11.666"</f>
        <v>09/28/2021 13:53:11.666</v>
      </c>
      <c r="C323" t="str">
        <f t="shared" si="17"/>
        <v>FFDFD3C0</v>
      </c>
      <c r="D323" t="s">
        <v>113</v>
      </c>
      <c r="E323">
        <v>7</v>
      </c>
      <c r="H323">
        <v>170</v>
      </c>
      <c r="I323" t="s">
        <v>114</v>
      </c>
      <c r="J323" t="s">
        <v>115</v>
      </c>
      <c r="K323">
        <v>0</v>
      </c>
      <c r="L323">
        <v>3</v>
      </c>
      <c r="M323">
        <v>0</v>
      </c>
      <c r="N323">
        <v>2</v>
      </c>
      <c r="O323">
        <v>1</v>
      </c>
      <c r="P323">
        <v>0</v>
      </c>
      <c r="Q323">
        <v>0</v>
      </c>
      <c r="S323" t="str">
        <f>"13:53:11.492"</f>
        <v>13:53:11.492</v>
      </c>
      <c r="T323" t="str">
        <f>"13:53:10.992"</f>
        <v>13:53:10.992</v>
      </c>
      <c r="U323" t="str">
        <f t="shared" si="19"/>
        <v>A92BC1</v>
      </c>
      <c r="V323">
        <v>0</v>
      </c>
      <c r="W323">
        <v>0</v>
      </c>
      <c r="X323">
        <v>2</v>
      </c>
      <c r="Z323">
        <v>0</v>
      </c>
      <c r="AA323">
        <v>9</v>
      </c>
      <c r="AB323">
        <v>3</v>
      </c>
      <c r="AC323">
        <v>0</v>
      </c>
      <c r="AD323">
        <v>10</v>
      </c>
      <c r="AE323">
        <v>0</v>
      </c>
      <c r="AF323">
        <v>3</v>
      </c>
      <c r="AG323">
        <v>2</v>
      </c>
      <c r="AH323">
        <v>0</v>
      </c>
      <c r="AI323" t="s">
        <v>424</v>
      </c>
      <c r="AJ323">
        <v>45.703403999999999</v>
      </c>
      <c r="AK323" t="s">
        <v>425</v>
      </c>
      <c r="AL323">
        <v>-89.426715000000002</v>
      </c>
      <c r="AM323">
        <v>100</v>
      </c>
      <c r="AN323">
        <v>7200</v>
      </c>
      <c r="AO323" t="s">
        <v>118</v>
      </c>
      <c r="AP323">
        <v>128</v>
      </c>
      <c r="AQ323">
        <v>101</v>
      </c>
      <c r="AR323">
        <v>1856</v>
      </c>
      <c r="AZ323">
        <v>1200</v>
      </c>
      <c r="BA323">
        <v>1</v>
      </c>
      <c r="BB323" t="str">
        <f t="shared" si="18"/>
        <v xml:space="preserve">N690LS  </v>
      </c>
      <c r="BC323">
        <v>1</v>
      </c>
      <c r="BE323">
        <v>0</v>
      </c>
      <c r="BF323">
        <v>0</v>
      </c>
      <c r="BG323">
        <v>0</v>
      </c>
      <c r="BH323">
        <v>7400</v>
      </c>
      <c r="BI323">
        <v>1</v>
      </c>
      <c r="BJ323">
        <v>1</v>
      </c>
      <c r="BK323">
        <v>1</v>
      </c>
      <c r="BL323">
        <v>0</v>
      </c>
      <c r="BO323">
        <v>0</v>
      </c>
      <c r="BP323">
        <v>0</v>
      </c>
      <c r="BW323" t="str">
        <f>"13:53:11.495"</f>
        <v>13:53:11.495</v>
      </c>
      <c r="CJ323">
        <v>0</v>
      </c>
      <c r="CK323">
        <v>2</v>
      </c>
      <c r="CL323">
        <v>0</v>
      </c>
      <c r="CM323">
        <v>2</v>
      </c>
      <c r="CN323">
        <v>0</v>
      </c>
      <c r="CO323">
        <v>5</v>
      </c>
      <c r="CP323" t="s">
        <v>119</v>
      </c>
      <c r="CQ323">
        <v>209</v>
      </c>
      <c r="CR323">
        <v>3</v>
      </c>
      <c r="CW323">
        <v>7162231</v>
      </c>
      <c r="CY323">
        <v>1</v>
      </c>
      <c r="CZ323">
        <v>0</v>
      </c>
      <c r="DA323">
        <v>0</v>
      </c>
      <c r="DB323">
        <v>0</v>
      </c>
      <c r="DC323">
        <v>0</v>
      </c>
      <c r="DD323">
        <v>0</v>
      </c>
      <c r="DE323">
        <v>0</v>
      </c>
      <c r="DF323">
        <v>0</v>
      </c>
      <c r="DG323">
        <v>0</v>
      </c>
      <c r="DH323">
        <v>0</v>
      </c>
      <c r="DI323">
        <v>0</v>
      </c>
    </row>
    <row r="324" spans="1:113" x14ac:dyDescent="0.3">
      <c r="A324" t="str">
        <f>"09/28/2021 13:53:11.666"</f>
        <v>09/28/2021 13:53:11.666</v>
      </c>
      <c r="C324" t="str">
        <f t="shared" si="17"/>
        <v>FFDFD3C0</v>
      </c>
      <c r="D324" t="s">
        <v>120</v>
      </c>
      <c r="E324">
        <v>12</v>
      </c>
      <c r="F324">
        <v>1012</v>
      </c>
      <c r="G324" t="s">
        <v>114</v>
      </c>
      <c r="J324" t="s">
        <v>121</v>
      </c>
      <c r="K324">
        <v>0</v>
      </c>
      <c r="L324">
        <v>3</v>
      </c>
      <c r="M324">
        <v>0</v>
      </c>
      <c r="N324">
        <v>2</v>
      </c>
      <c r="O324">
        <v>1</v>
      </c>
      <c r="P324">
        <v>0</v>
      </c>
      <c r="Q324">
        <v>0</v>
      </c>
      <c r="S324" t="str">
        <f>"13:53:11.492"</f>
        <v>13:53:11.492</v>
      </c>
      <c r="T324" t="str">
        <f>"13:53:10.992"</f>
        <v>13:53:10.992</v>
      </c>
      <c r="U324" t="str">
        <f t="shared" si="19"/>
        <v>A92BC1</v>
      </c>
      <c r="V324">
        <v>0</v>
      </c>
      <c r="W324">
        <v>0</v>
      </c>
      <c r="X324">
        <v>2</v>
      </c>
      <c r="Z324">
        <v>0</v>
      </c>
      <c r="AA324">
        <v>9</v>
      </c>
      <c r="AB324">
        <v>3</v>
      </c>
      <c r="AC324">
        <v>0</v>
      </c>
      <c r="AD324">
        <v>10</v>
      </c>
      <c r="AE324">
        <v>0</v>
      </c>
      <c r="AF324">
        <v>3</v>
      </c>
      <c r="AG324">
        <v>2</v>
      </c>
      <c r="AH324">
        <v>0</v>
      </c>
      <c r="AI324" t="s">
        <v>424</v>
      </c>
      <c r="AJ324">
        <v>45.703403999999999</v>
      </c>
      <c r="AK324" t="s">
        <v>425</v>
      </c>
      <c r="AL324">
        <v>-89.426715000000002</v>
      </c>
      <c r="AM324">
        <v>100</v>
      </c>
      <c r="AN324">
        <v>7200</v>
      </c>
      <c r="AO324" t="s">
        <v>118</v>
      </c>
      <c r="AP324">
        <v>128</v>
      </c>
      <c r="AQ324">
        <v>101</v>
      </c>
      <c r="AR324">
        <v>1856</v>
      </c>
      <c r="AZ324">
        <v>1200</v>
      </c>
      <c r="BA324">
        <v>1</v>
      </c>
      <c r="BB324" t="str">
        <f t="shared" si="18"/>
        <v xml:space="preserve">N690LS  </v>
      </c>
      <c r="BC324">
        <v>1</v>
      </c>
      <c r="BE324">
        <v>0</v>
      </c>
      <c r="BF324">
        <v>0</v>
      </c>
      <c r="BG324">
        <v>0</v>
      </c>
      <c r="BH324">
        <v>7400</v>
      </c>
      <c r="BI324">
        <v>1</v>
      </c>
      <c r="BJ324">
        <v>1</v>
      </c>
      <c r="BK324">
        <v>1</v>
      </c>
      <c r="BL324">
        <v>0</v>
      </c>
      <c r="BO324">
        <v>0</v>
      </c>
      <c r="BP324">
        <v>0</v>
      </c>
      <c r="BW324" t="str">
        <f>"13:53:11.495"</f>
        <v>13:53:11.495</v>
      </c>
      <c r="CJ324">
        <v>0</v>
      </c>
      <c r="CK324">
        <v>2</v>
      </c>
      <c r="CL324">
        <v>0</v>
      </c>
      <c r="CM324">
        <v>2</v>
      </c>
      <c r="CN324">
        <v>0</v>
      </c>
      <c r="CO324">
        <v>5</v>
      </c>
      <c r="CP324" t="s">
        <v>119</v>
      </c>
      <c r="CQ324">
        <v>209</v>
      </c>
      <c r="CR324">
        <v>3</v>
      </c>
      <c r="CW324">
        <v>7162231</v>
      </c>
      <c r="CY324">
        <v>1</v>
      </c>
      <c r="CZ324">
        <v>0</v>
      </c>
      <c r="DA324">
        <v>1</v>
      </c>
      <c r="DB324">
        <v>0</v>
      </c>
      <c r="DC324">
        <v>0</v>
      </c>
      <c r="DD324">
        <v>0</v>
      </c>
      <c r="DE324">
        <v>0</v>
      </c>
      <c r="DF324">
        <v>0</v>
      </c>
      <c r="DG324">
        <v>0</v>
      </c>
      <c r="DH324">
        <v>0</v>
      </c>
      <c r="DI324">
        <v>0</v>
      </c>
    </row>
    <row r="325" spans="1:113" x14ac:dyDescent="0.3">
      <c r="A325" t="str">
        <f>"09/28/2021 13:53:12.619"</f>
        <v>09/28/2021 13:53:12.619</v>
      </c>
      <c r="C325" t="str">
        <f t="shared" si="17"/>
        <v>FFDFD3C0</v>
      </c>
      <c r="D325" t="s">
        <v>113</v>
      </c>
      <c r="E325">
        <v>7</v>
      </c>
      <c r="H325">
        <v>170</v>
      </c>
      <c r="I325" t="s">
        <v>114</v>
      </c>
      <c r="J325" t="s">
        <v>115</v>
      </c>
      <c r="K325">
        <v>0</v>
      </c>
      <c r="L325">
        <v>3</v>
      </c>
      <c r="M325">
        <v>0</v>
      </c>
      <c r="N325">
        <v>2</v>
      </c>
      <c r="O325">
        <v>1</v>
      </c>
      <c r="P325">
        <v>0</v>
      </c>
      <c r="Q325">
        <v>0</v>
      </c>
      <c r="S325" t="str">
        <f>"13:53:12.430"</f>
        <v>13:53:12.430</v>
      </c>
      <c r="T325" t="str">
        <f>"13:53:12.030"</f>
        <v>13:53:12.030</v>
      </c>
      <c r="U325" t="str">
        <f t="shared" si="19"/>
        <v>A92BC1</v>
      </c>
      <c r="V325">
        <v>0</v>
      </c>
      <c r="W325">
        <v>0</v>
      </c>
      <c r="X325">
        <v>2</v>
      </c>
      <c r="Z325">
        <v>0</v>
      </c>
      <c r="AA325">
        <v>9</v>
      </c>
      <c r="AB325">
        <v>3</v>
      </c>
      <c r="AC325">
        <v>0</v>
      </c>
      <c r="AD325">
        <v>10</v>
      </c>
      <c r="AE325">
        <v>0</v>
      </c>
      <c r="AF325">
        <v>3</v>
      </c>
      <c r="AG325">
        <v>2</v>
      </c>
      <c r="AH325">
        <v>0</v>
      </c>
      <c r="AI325" t="s">
        <v>426</v>
      </c>
      <c r="AJ325">
        <v>45.703918999999999</v>
      </c>
      <c r="AK325" t="s">
        <v>427</v>
      </c>
      <c r="AL325">
        <v>-89.425899999999999</v>
      </c>
      <c r="AM325">
        <v>100</v>
      </c>
      <c r="AN325">
        <v>7300</v>
      </c>
      <c r="AO325" t="s">
        <v>118</v>
      </c>
      <c r="AP325">
        <v>128</v>
      </c>
      <c r="AQ325">
        <v>102</v>
      </c>
      <c r="AR325">
        <v>1856</v>
      </c>
      <c r="AZ325">
        <v>1200</v>
      </c>
      <c r="BA325">
        <v>1</v>
      </c>
      <c r="BB325" t="str">
        <f t="shared" si="18"/>
        <v xml:space="preserve">N690LS  </v>
      </c>
      <c r="BC325">
        <v>1</v>
      </c>
      <c r="BE325">
        <v>0</v>
      </c>
      <c r="BF325">
        <v>0</v>
      </c>
      <c r="BG325">
        <v>0</v>
      </c>
      <c r="BH325">
        <v>7425</v>
      </c>
      <c r="BI325">
        <v>1</v>
      </c>
      <c r="BJ325">
        <v>1</v>
      </c>
      <c r="BK325">
        <v>1</v>
      </c>
      <c r="BL325">
        <v>0</v>
      </c>
      <c r="BO325">
        <v>0</v>
      </c>
      <c r="BP325">
        <v>0</v>
      </c>
      <c r="BW325" t="str">
        <f>"13:53:12.435"</f>
        <v>13:53:12.435</v>
      </c>
      <c r="CJ325">
        <v>0</v>
      </c>
      <c r="CK325">
        <v>2</v>
      </c>
      <c r="CL325">
        <v>0</v>
      </c>
      <c r="CM325">
        <v>2</v>
      </c>
      <c r="CN325">
        <v>0</v>
      </c>
      <c r="CO325">
        <v>7</v>
      </c>
      <c r="CP325" t="s">
        <v>119</v>
      </c>
      <c r="CQ325">
        <v>197</v>
      </c>
      <c r="CR325">
        <v>2</v>
      </c>
      <c r="CW325">
        <v>2235582</v>
      </c>
      <c r="CY325">
        <v>1</v>
      </c>
      <c r="CZ325">
        <v>0</v>
      </c>
      <c r="DA325">
        <v>0</v>
      </c>
      <c r="DB325">
        <v>0</v>
      </c>
      <c r="DC325">
        <v>0</v>
      </c>
      <c r="DD325">
        <v>0</v>
      </c>
      <c r="DE325">
        <v>0</v>
      </c>
      <c r="DF325">
        <v>0</v>
      </c>
      <c r="DG325">
        <v>0</v>
      </c>
      <c r="DH325">
        <v>0</v>
      </c>
      <c r="DI325">
        <v>0</v>
      </c>
    </row>
    <row r="326" spans="1:113" x14ac:dyDescent="0.3">
      <c r="A326" t="str">
        <f>"09/28/2021 13:53:12.635"</f>
        <v>09/28/2021 13:53:12.635</v>
      </c>
      <c r="C326" t="str">
        <f t="shared" si="17"/>
        <v>FFDFD3C0</v>
      </c>
      <c r="D326" t="s">
        <v>120</v>
      </c>
      <c r="E326">
        <v>12</v>
      </c>
      <c r="F326">
        <v>1012</v>
      </c>
      <c r="G326" t="s">
        <v>114</v>
      </c>
      <c r="J326" t="s">
        <v>121</v>
      </c>
      <c r="K326">
        <v>0</v>
      </c>
      <c r="L326">
        <v>3</v>
      </c>
      <c r="M326">
        <v>0</v>
      </c>
      <c r="N326">
        <v>2</v>
      </c>
      <c r="O326">
        <v>1</v>
      </c>
      <c r="P326">
        <v>0</v>
      </c>
      <c r="Q326">
        <v>0</v>
      </c>
      <c r="S326" t="str">
        <f>"13:53:12.430"</f>
        <v>13:53:12.430</v>
      </c>
      <c r="T326" t="str">
        <f>"13:53:12.030"</f>
        <v>13:53:12.030</v>
      </c>
      <c r="U326" t="str">
        <f t="shared" si="19"/>
        <v>A92BC1</v>
      </c>
      <c r="V326">
        <v>0</v>
      </c>
      <c r="W326">
        <v>0</v>
      </c>
      <c r="X326">
        <v>2</v>
      </c>
      <c r="Z326">
        <v>0</v>
      </c>
      <c r="AA326">
        <v>9</v>
      </c>
      <c r="AB326">
        <v>3</v>
      </c>
      <c r="AC326">
        <v>0</v>
      </c>
      <c r="AD326">
        <v>10</v>
      </c>
      <c r="AE326">
        <v>0</v>
      </c>
      <c r="AF326">
        <v>3</v>
      </c>
      <c r="AG326">
        <v>2</v>
      </c>
      <c r="AH326">
        <v>0</v>
      </c>
      <c r="AI326" t="s">
        <v>426</v>
      </c>
      <c r="AJ326">
        <v>45.703918999999999</v>
      </c>
      <c r="AK326" t="s">
        <v>427</v>
      </c>
      <c r="AL326">
        <v>-89.425899999999999</v>
      </c>
      <c r="AM326">
        <v>100</v>
      </c>
      <c r="AN326">
        <v>7300</v>
      </c>
      <c r="AO326" t="s">
        <v>118</v>
      </c>
      <c r="AP326">
        <v>128</v>
      </c>
      <c r="AQ326">
        <v>102</v>
      </c>
      <c r="AR326">
        <v>1856</v>
      </c>
      <c r="AZ326">
        <v>1200</v>
      </c>
      <c r="BA326">
        <v>1</v>
      </c>
      <c r="BB326" t="str">
        <f t="shared" si="18"/>
        <v xml:space="preserve">N690LS  </v>
      </c>
      <c r="BC326">
        <v>1</v>
      </c>
      <c r="BE326">
        <v>0</v>
      </c>
      <c r="BF326">
        <v>0</v>
      </c>
      <c r="BG326">
        <v>0</v>
      </c>
      <c r="BH326">
        <v>7425</v>
      </c>
      <c r="BI326">
        <v>1</v>
      </c>
      <c r="BJ326">
        <v>1</v>
      </c>
      <c r="BK326">
        <v>1</v>
      </c>
      <c r="BL326">
        <v>0</v>
      </c>
      <c r="BO326">
        <v>0</v>
      </c>
      <c r="BP326">
        <v>0</v>
      </c>
      <c r="BW326" t="str">
        <f>"13:53:12.435"</f>
        <v>13:53:12.435</v>
      </c>
      <c r="CJ326">
        <v>0</v>
      </c>
      <c r="CK326">
        <v>2</v>
      </c>
      <c r="CL326">
        <v>0</v>
      </c>
      <c r="CM326">
        <v>2</v>
      </c>
      <c r="CN326">
        <v>0</v>
      </c>
      <c r="CO326">
        <v>7</v>
      </c>
      <c r="CP326" t="s">
        <v>119</v>
      </c>
      <c r="CQ326">
        <v>197</v>
      </c>
      <c r="CR326">
        <v>2</v>
      </c>
      <c r="CW326">
        <v>2235582</v>
      </c>
      <c r="CY326">
        <v>1</v>
      </c>
      <c r="CZ326">
        <v>0</v>
      </c>
      <c r="DA326">
        <v>1</v>
      </c>
      <c r="DB326">
        <v>0</v>
      </c>
      <c r="DC326">
        <v>0</v>
      </c>
      <c r="DD326">
        <v>0</v>
      </c>
      <c r="DE326">
        <v>0</v>
      </c>
      <c r="DF326">
        <v>0</v>
      </c>
      <c r="DG326">
        <v>0</v>
      </c>
      <c r="DH326">
        <v>0</v>
      </c>
      <c r="DI326">
        <v>0</v>
      </c>
    </row>
    <row r="327" spans="1:113" x14ac:dyDescent="0.3">
      <c r="A327" t="str">
        <f>"09/28/2021 13:53:13.683"</f>
        <v>09/28/2021 13:53:13.683</v>
      </c>
      <c r="C327" t="str">
        <f t="shared" si="17"/>
        <v>FFDFD3C0</v>
      </c>
      <c r="D327" t="s">
        <v>113</v>
      </c>
      <c r="E327">
        <v>7</v>
      </c>
      <c r="H327">
        <v>170</v>
      </c>
      <c r="I327" t="s">
        <v>114</v>
      </c>
      <c r="J327" t="s">
        <v>115</v>
      </c>
      <c r="K327">
        <v>0</v>
      </c>
      <c r="L327">
        <v>3</v>
      </c>
      <c r="M327">
        <v>0</v>
      </c>
      <c r="N327">
        <v>2</v>
      </c>
      <c r="O327">
        <v>1</v>
      </c>
      <c r="P327">
        <v>0</v>
      </c>
      <c r="Q327">
        <v>0</v>
      </c>
      <c r="S327" t="str">
        <f>"13:53:13.445"</f>
        <v>13:53:13.445</v>
      </c>
      <c r="T327" t="str">
        <f>"13:53:13.045"</f>
        <v>13:53:13.045</v>
      </c>
      <c r="U327" t="str">
        <f t="shared" si="19"/>
        <v>A92BC1</v>
      </c>
      <c r="V327">
        <v>0</v>
      </c>
      <c r="W327">
        <v>0</v>
      </c>
      <c r="X327">
        <v>2</v>
      </c>
      <c r="Z327">
        <v>0</v>
      </c>
      <c r="AA327">
        <v>9</v>
      </c>
      <c r="AB327">
        <v>3</v>
      </c>
      <c r="AC327">
        <v>0</v>
      </c>
      <c r="AD327">
        <v>10</v>
      </c>
      <c r="AE327">
        <v>0</v>
      </c>
      <c r="AF327">
        <v>3</v>
      </c>
      <c r="AG327">
        <v>2</v>
      </c>
      <c r="AH327">
        <v>0</v>
      </c>
      <c r="AI327" t="s">
        <v>428</v>
      </c>
      <c r="AJ327">
        <v>45.704391000000001</v>
      </c>
      <c r="AK327" t="s">
        <v>429</v>
      </c>
      <c r="AL327">
        <v>-89.424999</v>
      </c>
      <c r="AM327">
        <v>100</v>
      </c>
      <c r="AN327">
        <v>7300</v>
      </c>
      <c r="AO327" t="s">
        <v>118</v>
      </c>
      <c r="AP327">
        <v>128</v>
      </c>
      <c r="AQ327">
        <v>102</v>
      </c>
      <c r="AR327">
        <v>1856</v>
      </c>
      <c r="AZ327">
        <v>1200</v>
      </c>
      <c r="BA327">
        <v>1</v>
      </c>
      <c r="BB327" t="str">
        <f t="shared" si="18"/>
        <v xml:space="preserve">N690LS  </v>
      </c>
      <c r="BC327">
        <v>1</v>
      </c>
      <c r="BE327">
        <v>0</v>
      </c>
      <c r="BF327">
        <v>0</v>
      </c>
      <c r="BG327">
        <v>0</v>
      </c>
      <c r="BH327">
        <v>7450</v>
      </c>
      <c r="BI327">
        <v>1</v>
      </c>
      <c r="BJ327">
        <v>1</v>
      </c>
      <c r="BK327">
        <v>1</v>
      </c>
      <c r="BL327">
        <v>0</v>
      </c>
      <c r="BO327">
        <v>0</v>
      </c>
      <c r="BP327">
        <v>0</v>
      </c>
      <c r="BW327" t="str">
        <f>"13:53:13.449"</f>
        <v>13:53:13.449</v>
      </c>
      <c r="CJ327">
        <v>0</v>
      </c>
      <c r="CK327">
        <v>2</v>
      </c>
      <c r="CL327">
        <v>0</v>
      </c>
      <c r="CM327">
        <v>2</v>
      </c>
      <c r="CN327">
        <v>0</v>
      </c>
      <c r="CO327">
        <v>6</v>
      </c>
      <c r="CP327" t="s">
        <v>119</v>
      </c>
      <c r="CQ327">
        <v>209</v>
      </c>
      <c r="CR327">
        <v>3</v>
      </c>
      <c r="CW327">
        <v>7162856</v>
      </c>
      <c r="CY327">
        <v>1</v>
      </c>
      <c r="CZ327">
        <v>0</v>
      </c>
      <c r="DA327">
        <v>0</v>
      </c>
      <c r="DB327">
        <v>0</v>
      </c>
      <c r="DC327">
        <v>0</v>
      </c>
      <c r="DD327">
        <v>0</v>
      </c>
      <c r="DE327">
        <v>0</v>
      </c>
      <c r="DF327">
        <v>0</v>
      </c>
      <c r="DG327">
        <v>0</v>
      </c>
      <c r="DH327">
        <v>0</v>
      </c>
      <c r="DI327">
        <v>0</v>
      </c>
    </row>
    <row r="328" spans="1:113" x14ac:dyDescent="0.3">
      <c r="A328" t="str">
        <f>"09/28/2021 13:53:13.683"</f>
        <v>09/28/2021 13:53:13.683</v>
      </c>
      <c r="C328" t="str">
        <f t="shared" si="17"/>
        <v>FFDFD3C0</v>
      </c>
      <c r="D328" t="s">
        <v>120</v>
      </c>
      <c r="E328">
        <v>12</v>
      </c>
      <c r="F328">
        <v>1012</v>
      </c>
      <c r="G328" t="s">
        <v>114</v>
      </c>
      <c r="J328" t="s">
        <v>121</v>
      </c>
      <c r="K328">
        <v>0</v>
      </c>
      <c r="L328">
        <v>3</v>
      </c>
      <c r="M328">
        <v>0</v>
      </c>
      <c r="N328">
        <v>2</v>
      </c>
      <c r="O328">
        <v>1</v>
      </c>
      <c r="P328">
        <v>0</v>
      </c>
      <c r="Q328">
        <v>0</v>
      </c>
      <c r="S328" t="str">
        <f>"13:53:13.445"</f>
        <v>13:53:13.445</v>
      </c>
      <c r="T328" t="str">
        <f>"13:53:13.045"</f>
        <v>13:53:13.045</v>
      </c>
      <c r="U328" t="str">
        <f t="shared" si="19"/>
        <v>A92BC1</v>
      </c>
      <c r="V328">
        <v>0</v>
      </c>
      <c r="W328">
        <v>0</v>
      </c>
      <c r="X328">
        <v>2</v>
      </c>
      <c r="Z328">
        <v>0</v>
      </c>
      <c r="AA328">
        <v>9</v>
      </c>
      <c r="AB328">
        <v>3</v>
      </c>
      <c r="AC328">
        <v>0</v>
      </c>
      <c r="AD328">
        <v>10</v>
      </c>
      <c r="AE328">
        <v>0</v>
      </c>
      <c r="AF328">
        <v>3</v>
      </c>
      <c r="AG328">
        <v>2</v>
      </c>
      <c r="AH328">
        <v>0</v>
      </c>
      <c r="AI328" t="s">
        <v>428</v>
      </c>
      <c r="AJ328">
        <v>45.704391000000001</v>
      </c>
      <c r="AK328" t="s">
        <v>429</v>
      </c>
      <c r="AL328">
        <v>-89.424999</v>
      </c>
      <c r="AM328">
        <v>100</v>
      </c>
      <c r="AN328">
        <v>7300</v>
      </c>
      <c r="AO328" t="s">
        <v>118</v>
      </c>
      <c r="AP328">
        <v>128</v>
      </c>
      <c r="AQ328">
        <v>102</v>
      </c>
      <c r="AR328">
        <v>1856</v>
      </c>
      <c r="AZ328">
        <v>1200</v>
      </c>
      <c r="BA328">
        <v>1</v>
      </c>
      <c r="BB328" t="str">
        <f t="shared" si="18"/>
        <v xml:space="preserve">N690LS  </v>
      </c>
      <c r="BC328">
        <v>1</v>
      </c>
      <c r="BE328">
        <v>0</v>
      </c>
      <c r="BF328">
        <v>0</v>
      </c>
      <c r="BG328">
        <v>0</v>
      </c>
      <c r="BH328">
        <v>7450</v>
      </c>
      <c r="BI328">
        <v>1</v>
      </c>
      <c r="BJ328">
        <v>1</v>
      </c>
      <c r="BK328">
        <v>1</v>
      </c>
      <c r="BL328">
        <v>0</v>
      </c>
      <c r="BO328">
        <v>0</v>
      </c>
      <c r="BP328">
        <v>0</v>
      </c>
      <c r="BW328" t="str">
        <f>"13:53:13.449"</f>
        <v>13:53:13.449</v>
      </c>
      <c r="CJ328">
        <v>0</v>
      </c>
      <c r="CK328">
        <v>2</v>
      </c>
      <c r="CL328">
        <v>0</v>
      </c>
      <c r="CM328">
        <v>2</v>
      </c>
      <c r="CN328">
        <v>0</v>
      </c>
      <c r="CO328">
        <v>6</v>
      </c>
      <c r="CP328" t="s">
        <v>119</v>
      </c>
      <c r="CQ328">
        <v>209</v>
      </c>
      <c r="CR328">
        <v>3</v>
      </c>
      <c r="CW328">
        <v>7162856</v>
      </c>
      <c r="CY328">
        <v>1</v>
      </c>
      <c r="CZ328">
        <v>0</v>
      </c>
      <c r="DA328">
        <v>1</v>
      </c>
      <c r="DB328">
        <v>0</v>
      </c>
      <c r="DC328">
        <v>0</v>
      </c>
      <c r="DD328">
        <v>0</v>
      </c>
      <c r="DE328">
        <v>0</v>
      </c>
      <c r="DF328">
        <v>0</v>
      </c>
      <c r="DG328">
        <v>0</v>
      </c>
      <c r="DH328">
        <v>0</v>
      </c>
      <c r="DI328">
        <v>0</v>
      </c>
    </row>
    <row r="329" spans="1:113" x14ac:dyDescent="0.3">
      <c r="A329" t="str">
        <f>"09/28/2021 13:53:14.651"</f>
        <v>09/28/2021 13:53:14.651</v>
      </c>
      <c r="C329" t="str">
        <f t="shared" si="17"/>
        <v>FFDFD3C0</v>
      </c>
      <c r="D329" t="s">
        <v>113</v>
      </c>
      <c r="E329">
        <v>7</v>
      </c>
      <c r="H329">
        <v>170</v>
      </c>
      <c r="I329" t="s">
        <v>114</v>
      </c>
      <c r="J329" t="s">
        <v>115</v>
      </c>
      <c r="K329">
        <v>0</v>
      </c>
      <c r="L329">
        <v>3</v>
      </c>
      <c r="M329">
        <v>0</v>
      </c>
      <c r="N329">
        <v>2</v>
      </c>
      <c r="O329">
        <v>1</v>
      </c>
      <c r="P329">
        <v>0</v>
      </c>
      <c r="Q329">
        <v>0</v>
      </c>
      <c r="S329" t="str">
        <f>"13:53:14.391"</f>
        <v>13:53:14.391</v>
      </c>
      <c r="T329" t="str">
        <f>"13:53:13.991"</f>
        <v>13:53:13.991</v>
      </c>
      <c r="U329" t="str">
        <f t="shared" si="19"/>
        <v>A92BC1</v>
      </c>
      <c r="V329">
        <v>0</v>
      </c>
      <c r="W329">
        <v>0</v>
      </c>
      <c r="X329">
        <v>2</v>
      </c>
      <c r="Z329">
        <v>0</v>
      </c>
      <c r="AA329">
        <v>9</v>
      </c>
      <c r="AB329">
        <v>3</v>
      </c>
      <c r="AC329">
        <v>0</v>
      </c>
      <c r="AD329">
        <v>10</v>
      </c>
      <c r="AE329">
        <v>0</v>
      </c>
      <c r="AF329">
        <v>3</v>
      </c>
      <c r="AG329">
        <v>2</v>
      </c>
      <c r="AH329">
        <v>0</v>
      </c>
      <c r="AI329" t="s">
        <v>430</v>
      </c>
      <c r="AJ329">
        <v>45.704777</v>
      </c>
      <c r="AK329" t="s">
        <v>431</v>
      </c>
      <c r="AL329">
        <v>-89.424290999999997</v>
      </c>
      <c r="AM329">
        <v>100</v>
      </c>
      <c r="AN329">
        <v>7300</v>
      </c>
      <c r="AO329" t="s">
        <v>118</v>
      </c>
      <c r="AP329">
        <v>129</v>
      </c>
      <c r="AQ329">
        <v>102</v>
      </c>
      <c r="AR329">
        <v>1792</v>
      </c>
      <c r="AZ329">
        <v>1200</v>
      </c>
      <c r="BA329">
        <v>1</v>
      </c>
      <c r="BB329" t="str">
        <f t="shared" si="18"/>
        <v xml:space="preserve">N690LS  </v>
      </c>
      <c r="BC329">
        <v>1</v>
      </c>
      <c r="BE329">
        <v>0</v>
      </c>
      <c r="BF329">
        <v>0</v>
      </c>
      <c r="BG329">
        <v>0</v>
      </c>
      <c r="BH329">
        <v>7500</v>
      </c>
      <c r="BI329">
        <v>1</v>
      </c>
      <c r="BJ329">
        <v>1</v>
      </c>
      <c r="BK329">
        <v>1</v>
      </c>
      <c r="BL329">
        <v>0</v>
      </c>
      <c r="BO329">
        <v>0</v>
      </c>
      <c r="BP329">
        <v>0</v>
      </c>
      <c r="BW329" t="str">
        <f>"13:53:14.395"</f>
        <v>13:53:14.395</v>
      </c>
      <c r="CJ329">
        <v>0</v>
      </c>
      <c r="CK329">
        <v>2</v>
      </c>
      <c r="CL329">
        <v>0</v>
      </c>
      <c r="CM329">
        <v>2</v>
      </c>
      <c r="CN329">
        <v>0</v>
      </c>
      <c r="CO329">
        <v>6</v>
      </c>
      <c r="CP329" t="s">
        <v>119</v>
      </c>
      <c r="CQ329">
        <v>209</v>
      </c>
      <c r="CR329">
        <v>3</v>
      </c>
      <c r="CW329">
        <v>7163192</v>
      </c>
      <c r="CY329">
        <v>1</v>
      </c>
      <c r="CZ329">
        <v>0</v>
      </c>
      <c r="DA329">
        <v>0</v>
      </c>
      <c r="DB329">
        <v>0</v>
      </c>
      <c r="DC329">
        <v>0</v>
      </c>
      <c r="DD329">
        <v>0</v>
      </c>
      <c r="DE329">
        <v>0</v>
      </c>
      <c r="DF329">
        <v>0</v>
      </c>
      <c r="DG329">
        <v>0</v>
      </c>
      <c r="DH329">
        <v>0</v>
      </c>
      <c r="DI329">
        <v>0</v>
      </c>
    </row>
    <row r="330" spans="1:113" x14ac:dyDescent="0.3">
      <c r="A330" t="str">
        <f>"09/28/2021 13:53:14.651"</f>
        <v>09/28/2021 13:53:14.651</v>
      </c>
      <c r="C330" t="str">
        <f t="shared" si="17"/>
        <v>FFDFD3C0</v>
      </c>
      <c r="D330" t="s">
        <v>120</v>
      </c>
      <c r="E330">
        <v>12</v>
      </c>
      <c r="F330">
        <v>1012</v>
      </c>
      <c r="G330" t="s">
        <v>114</v>
      </c>
      <c r="J330" t="s">
        <v>121</v>
      </c>
      <c r="K330">
        <v>0</v>
      </c>
      <c r="L330">
        <v>3</v>
      </c>
      <c r="M330">
        <v>0</v>
      </c>
      <c r="N330">
        <v>2</v>
      </c>
      <c r="O330">
        <v>1</v>
      </c>
      <c r="P330">
        <v>0</v>
      </c>
      <c r="Q330">
        <v>0</v>
      </c>
      <c r="S330" t="str">
        <f>"13:53:14.391"</f>
        <v>13:53:14.391</v>
      </c>
      <c r="T330" t="str">
        <f>"13:53:13.991"</f>
        <v>13:53:13.991</v>
      </c>
      <c r="U330" t="str">
        <f t="shared" si="19"/>
        <v>A92BC1</v>
      </c>
      <c r="V330">
        <v>0</v>
      </c>
      <c r="W330">
        <v>0</v>
      </c>
      <c r="X330">
        <v>2</v>
      </c>
      <c r="Z330">
        <v>0</v>
      </c>
      <c r="AA330">
        <v>9</v>
      </c>
      <c r="AB330">
        <v>3</v>
      </c>
      <c r="AC330">
        <v>0</v>
      </c>
      <c r="AD330">
        <v>10</v>
      </c>
      <c r="AE330">
        <v>0</v>
      </c>
      <c r="AF330">
        <v>3</v>
      </c>
      <c r="AG330">
        <v>2</v>
      </c>
      <c r="AH330">
        <v>0</v>
      </c>
      <c r="AI330" t="s">
        <v>430</v>
      </c>
      <c r="AJ330">
        <v>45.704777</v>
      </c>
      <c r="AK330" t="s">
        <v>431</v>
      </c>
      <c r="AL330">
        <v>-89.424290999999997</v>
      </c>
      <c r="AM330">
        <v>100</v>
      </c>
      <c r="AN330">
        <v>7300</v>
      </c>
      <c r="AO330" t="s">
        <v>118</v>
      </c>
      <c r="AP330">
        <v>129</v>
      </c>
      <c r="AQ330">
        <v>102</v>
      </c>
      <c r="AR330">
        <v>1792</v>
      </c>
      <c r="AZ330">
        <v>1200</v>
      </c>
      <c r="BA330">
        <v>1</v>
      </c>
      <c r="BB330" t="str">
        <f t="shared" si="18"/>
        <v xml:space="preserve">N690LS  </v>
      </c>
      <c r="BC330">
        <v>1</v>
      </c>
      <c r="BE330">
        <v>0</v>
      </c>
      <c r="BF330">
        <v>0</v>
      </c>
      <c r="BG330">
        <v>0</v>
      </c>
      <c r="BH330">
        <v>7500</v>
      </c>
      <c r="BI330">
        <v>1</v>
      </c>
      <c r="BJ330">
        <v>1</v>
      </c>
      <c r="BK330">
        <v>1</v>
      </c>
      <c r="BL330">
        <v>0</v>
      </c>
      <c r="BO330">
        <v>0</v>
      </c>
      <c r="BP330">
        <v>0</v>
      </c>
      <c r="BW330" t="str">
        <f>"13:53:14.395"</f>
        <v>13:53:14.395</v>
      </c>
      <c r="CJ330">
        <v>0</v>
      </c>
      <c r="CK330">
        <v>2</v>
      </c>
      <c r="CL330">
        <v>0</v>
      </c>
      <c r="CM330">
        <v>2</v>
      </c>
      <c r="CN330">
        <v>0</v>
      </c>
      <c r="CO330">
        <v>6</v>
      </c>
      <c r="CP330" t="s">
        <v>119</v>
      </c>
      <c r="CQ330">
        <v>209</v>
      </c>
      <c r="CR330">
        <v>3</v>
      </c>
      <c r="CW330">
        <v>7163192</v>
      </c>
      <c r="CY330">
        <v>1</v>
      </c>
      <c r="CZ330">
        <v>0</v>
      </c>
      <c r="DA330">
        <v>1</v>
      </c>
      <c r="DB330">
        <v>0</v>
      </c>
      <c r="DC330">
        <v>0</v>
      </c>
      <c r="DD330">
        <v>0</v>
      </c>
      <c r="DE330">
        <v>0</v>
      </c>
      <c r="DF330">
        <v>0</v>
      </c>
      <c r="DG330">
        <v>0</v>
      </c>
      <c r="DH330">
        <v>0</v>
      </c>
      <c r="DI330">
        <v>0</v>
      </c>
    </row>
    <row r="331" spans="1:113" x14ac:dyDescent="0.3">
      <c r="A331" t="str">
        <f>"09/28/2021 13:53:15.448"</f>
        <v>09/28/2021 13:53:15.448</v>
      </c>
      <c r="C331" t="str">
        <f t="shared" si="17"/>
        <v>FFDFD3C0</v>
      </c>
      <c r="D331" t="s">
        <v>120</v>
      </c>
      <c r="E331">
        <v>12</v>
      </c>
      <c r="F331">
        <v>1012</v>
      </c>
      <c r="G331" t="s">
        <v>114</v>
      </c>
      <c r="J331" t="s">
        <v>121</v>
      </c>
      <c r="K331">
        <v>0</v>
      </c>
      <c r="L331">
        <v>3</v>
      </c>
      <c r="M331">
        <v>0</v>
      </c>
      <c r="N331">
        <v>2</v>
      </c>
      <c r="O331">
        <v>1</v>
      </c>
      <c r="P331">
        <v>0</v>
      </c>
      <c r="Q331">
        <v>0</v>
      </c>
      <c r="S331" t="str">
        <f>"13:53:15.250"</f>
        <v>13:53:15.250</v>
      </c>
      <c r="T331" t="str">
        <f>"13:53:14.850"</f>
        <v>13:53:14.850</v>
      </c>
      <c r="U331" t="str">
        <f t="shared" si="19"/>
        <v>A92BC1</v>
      </c>
      <c r="V331">
        <v>0</v>
      </c>
      <c r="W331">
        <v>0</v>
      </c>
      <c r="X331">
        <v>2</v>
      </c>
      <c r="Z331">
        <v>0</v>
      </c>
      <c r="AA331">
        <v>9</v>
      </c>
      <c r="AB331">
        <v>3</v>
      </c>
      <c r="AC331">
        <v>0</v>
      </c>
      <c r="AD331">
        <v>10</v>
      </c>
      <c r="AE331">
        <v>0</v>
      </c>
      <c r="AF331">
        <v>3</v>
      </c>
      <c r="AG331">
        <v>2</v>
      </c>
      <c r="AH331">
        <v>0</v>
      </c>
      <c r="AI331" t="s">
        <v>432</v>
      </c>
      <c r="AJ331">
        <v>45.705227999999998</v>
      </c>
      <c r="AK331" t="s">
        <v>433</v>
      </c>
      <c r="AL331">
        <v>-89.423496999999998</v>
      </c>
      <c r="AM331">
        <v>100</v>
      </c>
      <c r="AN331">
        <v>7400</v>
      </c>
      <c r="AO331" t="s">
        <v>118</v>
      </c>
      <c r="AP331">
        <v>129</v>
      </c>
      <c r="AQ331">
        <v>102</v>
      </c>
      <c r="AR331">
        <v>1856</v>
      </c>
      <c r="AZ331">
        <v>1200</v>
      </c>
      <c r="BA331">
        <v>1</v>
      </c>
      <c r="BB331" t="str">
        <f t="shared" si="18"/>
        <v xml:space="preserve">N690LS  </v>
      </c>
      <c r="BC331">
        <v>1</v>
      </c>
      <c r="BE331">
        <v>0</v>
      </c>
      <c r="BF331">
        <v>0</v>
      </c>
      <c r="BG331">
        <v>0</v>
      </c>
      <c r="BH331">
        <v>7525</v>
      </c>
      <c r="BI331">
        <v>1</v>
      </c>
      <c r="BJ331">
        <v>1</v>
      </c>
      <c r="BK331">
        <v>1</v>
      </c>
      <c r="BL331">
        <v>0</v>
      </c>
      <c r="BO331">
        <v>0</v>
      </c>
      <c r="BP331">
        <v>0</v>
      </c>
      <c r="BW331" t="str">
        <f>"13:53:15.253"</f>
        <v>13:53:15.253</v>
      </c>
      <c r="CJ331">
        <v>0</v>
      </c>
      <c r="CK331">
        <v>2</v>
      </c>
      <c r="CL331">
        <v>0</v>
      </c>
      <c r="CM331">
        <v>2</v>
      </c>
      <c r="CN331">
        <v>0</v>
      </c>
      <c r="CO331">
        <v>7</v>
      </c>
      <c r="CP331" t="s">
        <v>119</v>
      </c>
      <c r="CQ331">
        <v>197</v>
      </c>
      <c r="CR331">
        <v>2</v>
      </c>
      <c r="CW331">
        <v>2238007</v>
      </c>
      <c r="CY331">
        <v>1</v>
      </c>
      <c r="CZ331">
        <v>0</v>
      </c>
      <c r="DA331">
        <v>0</v>
      </c>
      <c r="DB331">
        <v>0</v>
      </c>
      <c r="DC331">
        <v>0</v>
      </c>
      <c r="DD331">
        <v>0</v>
      </c>
      <c r="DE331">
        <v>0</v>
      </c>
      <c r="DF331">
        <v>0</v>
      </c>
      <c r="DG331">
        <v>0</v>
      </c>
      <c r="DH331">
        <v>0</v>
      </c>
      <c r="DI331">
        <v>0</v>
      </c>
    </row>
    <row r="332" spans="1:113" x14ac:dyDescent="0.3">
      <c r="A332" t="str">
        <f>"09/28/2021 13:53:15.448"</f>
        <v>09/28/2021 13:53:15.448</v>
      </c>
      <c r="C332" t="str">
        <f t="shared" si="17"/>
        <v>FFDFD3C0</v>
      </c>
      <c r="D332" t="s">
        <v>113</v>
      </c>
      <c r="E332">
        <v>7</v>
      </c>
      <c r="H332">
        <v>170</v>
      </c>
      <c r="I332" t="s">
        <v>114</v>
      </c>
      <c r="J332" t="s">
        <v>115</v>
      </c>
      <c r="K332">
        <v>0</v>
      </c>
      <c r="L332">
        <v>3</v>
      </c>
      <c r="M332">
        <v>0</v>
      </c>
      <c r="N332">
        <v>2</v>
      </c>
      <c r="O332">
        <v>1</v>
      </c>
      <c r="P332">
        <v>0</v>
      </c>
      <c r="Q332">
        <v>0</v>
      </c>
      <c r="S332" t="str">
        <f>"13:53:15.250"</f>
        <v>13:53:15.250</v>
      </c>
      <c r="T332" t="str">
        <f>"13:53:14.850"</f>
        <v>13:53:14.850</v>
      </c>
      <c r="U332" t="str">
        <f t="shared" si="19"/>
        <v>A92BC1</v>
      </c>
      <c r="V332">
        <v>0</v>
      </c>
      <c r="W332">
        <v>0</v>
      </c>
      <c r="X332">
        <v>2</v>
      </c>
      <c r="Z332">
        <v>0</v>
      </c>
      <c r="AA332">
        <v>9</v>
      </c>
      <c r="AB332">
        <v>3</v>
      </c>
      <c r="AC332">
        <v>0</v>
      </c>
      <c r="AD332">
        <v>10</v>
      </c>
      <c r="AE332">
        <v>0</v>
      </c>
      <c r="AF332">
        <v>3</v>
      </c>
      <c r="AG332">
        <v>2</v>
      </c>
      <c r="AH332">
        <v>0</v>
      </c>
      <c r="AI332" t="s">
        <v>432</v>
      </c>
      <c r="AJ332">
        <v>45.705227999999998</v>
      </c>
      <c r="AK332" t="s">
        <v>433</v>
      </c>
      <c r="AL332">
        <v>-89.423496999999998</v>
      </c>
      <c r="AM332">
        <v>100</v>
      </c>
      <c r="AN332">
        <v>7400</v>
      </c>
      <c r="AO332" t="s">
        <v>118</v>
      </c>
      <c r="AP332">
        <v>129</v>
      </c>
      <c r="AQ332">
        <v>102</v>
      </c>
      <c r="AR332">
        <v>1856</v>
      </c>
      <c r="AZ332">
        <v>1200</v>
      </c>
      <c r="BA332">
        <v>1</v>
      </c>
      <c r="BB332" t="str">
        <f t="shared" si="18"/>
        <v xml:space="preserve">N690LS  </v>
      </c>
      <c r="BC332">
        <v>1</v>
      </c>
      <c r="BE332">
        <v>0</v>
      </c>
      <c r="BF332">
        <v>0</v>
      </c>
      <c r="BG332">
        <v>0</v>
      </c>
      <c r="BH332">
        <v>7525</v>
      </c>
      <c r="BI332">
        <v>1</v>
      </c>
      <c r="BJ332">
        <v>1</v>
      </c>
      <c r="BK332">
        <v>1</v>
      </c>
      <c r="BL332">
        <v>0</v>
      </c>
      <c r="BO332">
        <v>0</v>
      </c>
      <c r="BP332">
        <v>0</v>
      </c>
      <c r="BW332" t="str">
        <f>"13:53:15.253"</f>
        <v>13:53:15.253</v>
      </c>
      <c r="CJ332">
        <v>0</v>
      </c>
      <c r="CK332">
        <v>2</v>
      </c>
      <c r="CL332">
        <v>0</v>
      </c>
      <c r="CM332">
        <v>2</v>
      </c>
      <c r="CN332">
        <v>0</v>
      </c>
      <c r="CO332">
        <v>7</v>
      </c>
      <c r="CP332" t="s">
        <v>119</v>
      </c>
      <c r="CQ332">
        <v>197</v>
      </c>
      <c r="CR332">
        <v>2</v>
      </c>
      <c r="CW332">
        <v>2238007</v>
      </c>
      <c r="CY332">
        <v>1</v>
      </c>
      <c r="CZ332">
        <v>0</v>
      </c>
      <c r="DA332">
        <v>1</v>
      </c>
      <c r="DB332">
        <v>0</v>
      </c>
      <c r="DC332">
        <v>0</v>
      </c>
      <c r="DD332">
        <v>0</v>
      </c>
      <c r="DE332">
        <v>0</v>
      </c>
      <c r="DF332">
        <v>0</v>
      </c>
      <c r="DG332">
        <v>0</v>
      </c>
      <c r="DH332">
        <v>0</v>
      </c>
      <c r="DI332">
        <v>0</v>
      </c>
    </row>
    <row r="333" spans="1:113" x14ac:dyDescent="0.3">
      <c r="A333" t="str">
        <f>"09/28/2021 13:53:16.355"</f>
        <v>09/28/2021 13:53:16.355</v>
      </c>
      <c r="C333" t="str">
        <f t="shared" si="17"/>
        <v>FFDFD3C0</v>
      </c>
      <c r="D333" t="s">
        <v>120</v>
      </c>
      <c r="E333">
        <v>12</v>
      </c>
      <c r="F333">
        <v>1012</v>
      </c>
      <c r="G333" t="s">
        <v>114</v>
      </c>
      <c r="J333" t="s">
        <v>121</v>
      </c>
      <c r="K333">
        <v>0</v>
      </c>
      <c r="L333">
        <v>3</v>
      </c>
      <c r="M333">
        <v>0</v>
      </c>
      <c r="N333">
        <v>2</v>
      </c>
      <c r="O333">
        <v>1</v>
      </c>
      <c r="P333">
        <v>0</v>
      </c>
      <c r="Q333">
        <v>0</v>
      </c>
      <c r="S333" t="str">
        <f>"13:53:16.133"</f>
        <v>13:53:16.133</v>
      </c>
      <c r="T333" t="str">
        <f>"13:53:15.733"</f>
        <v>13:53:15.733</v>
      </c>
      <c r="U333" t="str">
        <f t="shared" si="19"/>
        <v>A92BC1</v>
      </c>
      <c r="V333">
        <v>0</v>
      </c>
      <c r="W333">
        <v>0</v>
      </c>
      <c r="X333">
        <v>2</v>
      </c>
      <c r="Z333">
        <v>0</v>
      </c>
      <c r="AA333">
        <v>9</v>
      </c>
      <c r="AB333">
        <v>3</v>
      </c>
      <c r="AC333">
        <v>0</v>
      </c>
      <c r="AD333">
        <v>10</v>
      </c>
      <c r="AE333">
        <v>0</v>
      </c>
      <c r="AF333">
        <v>3</v>
      </c>
      <c r="AG333">
        <v>2</v>
      </c>
      <c r="AH333">
        <v>0</v>
      </c>
      <c r="AI333" t="s">
        <v>434</v>
      </c>
      <c r="AJ333">
        <v>45.705635999999998</v>
      </c>
      <c r="AK333" t="s">
        <v>435</v>
      </c>
      <c r="AL333">
        <v>-89.422746000000004</v>
      </c>
      <c r="AM333">
        <v>100</v>
      </c>
      <c r="AN333">
        <v>7400</v>
      </c>
      <c r="AO333" t="s">
        <v>118</v>
      </c>
      <c r="AP333">
        <v>129</v>
      </c>
      <c r="AQ333">
        <v>102</v>
      </c>
      <c r="AR333">
        <v>1856</v>
      </c>
      <c r="AZ333">
        <v>1200</v>
      </c>
      <c r="BA333">
        <v>1</v>
      </c>
      <c r="BB333" t="str">
        <f t="shared" si="18"/>
        <v xml:space="preserve">N690LS  </v>
      </c>
      <c r="BC333">
        <v>1</v>
      </c>
      <c r="BE333">
        <v>0</v>
      </c>
      <c r="BF333">
        <v>0</v>
      </c>
      <c r="BG333">
        <v>0</v>
      </c>
      <c r="BH333">
        <v>7550</v>
      </c>
      <c r="BI333">
        <v>1</v>
      </c>
      <c r="BJ333">
        <v>1</v>
      </c>
      <c r="BK333">
        <v>1</v>
      </c>
      <c r="BL333">
        <v>0</v>
      </c>
      <c r="BO333">
        <v>0</v>
      </c>
      <c r="BP333">
        <v>0</v>
      </c>
      <c r="BW333" t="str">
        <f>"13:53:16.138"</f>
        <v>13:53:16.138</v>
      </c>
      <c r="CJ333">
        <v>0</v>
      </c>
      <c r="CK333">
        <v>2</v>
      </c>
      <c r="CL333">
        <v>0</v>
      </c>
      <c r="CM333">
        <v>2</v>
      </c>
      <c r="CN333">
        <v>0</v>
      </c>
      <c r="CO333">
        <v>6</v>
      </c>
      <c r="CP333" t="s">
        <v>119</v>
      </c>
      <c r="CQ333">
        <v>209</v>
      </c>
      <c r="CR333">
        <v>3</v>
      </c>
      <c r="CW333">
        <v>7163692</v>
      </c>
      <c r="CY333">
        <v>1</v>
      </c>
      <c r="CZ333">
        <v>0</v>
      </c>
      <c r="DA333">
        <v>0</v>
      </c>
      <c r="DB333">
        <v>0</v>
      </c>
      <c r="DC333">
        <v>0</v>
      </c>
      <c r="DD333">
        <v>0</v>
      </c>
      <c r="DE333">
        <v>0</v>
      </c>
      <c r="DF333">
        <v>0</v>
      </c>
      <c r="DG333">
        <v>0</v>
      </c>
      <c r="DH333">
        <v>0</v>
      </c>
      <c r="DI333">
        <v>0</v>
      </c>
    </row>
    <row r="334" spans="1:113" x14ac:dyDescent="0.3">
      <c r="A334" t="str">
        <f>"09/28/2021 13:53:16.370"</f>
        <v>09/28/2021 13:53:16.370</v>
      </c>
      <c r="C334" t="str">
        <f t="shared" si="17"/>
        <v>FFDFD3C0</v>
      </c>
      <c r="D334" t="s">
        <v>113</v>
      </c>
      <c r="E334">
        <v>7</v>
      </c>
      <c r="H334">
        <v>170</v>
      </c>
      <c r="I334" t="s">
        <v>114</v>
      </c>
      <c r="J334" t="s">
        <v>115</v>
      </c>
      <c r="K334">
        <v>0</v>
      </c>
      <c r="L334">
        <v>3</v>
      </c>
      <c r="M334">
        <v>0</v>
      </c>
      <c r="N334">
        <v>2</v>
      </c>
      <c r="O334">
        <v>1</v>
      </c>
      <c r="P334">
        <v>0</v>
      </c>
      <c r="Q334">
        <v>0</v>
      </c>
      <c r="S334" t="str">
        <f>"13:53:16.133"</f>
        <v>13:53:16.133</v>
      </c>
      <c r="T334" t="str">
        <f>"13:53:15.733"</f>
        <v>13:53:15.733</v>
      </c>
      <c r="U334" t="str">
        <f t="shared" si="19"/>
        <v>A92BC1</v>
      </c>
      <c r="V334">
        <v>0</v>
      </c>
      <c r="W334">
        <v>0</v>
      </c>
      <c r="X334">
        <v>2</v>
      </c>
      <c r="Z334">
        <v>0</v>
      </c>
      <c r="AA334">
        <v>9</v>
      </c>
      <c r="AB334">
        <v>3</v>
      </c>
      <c r="AC334">
        <v>0</v>
      </c>
      <c r="AD334">
        <v>10</v>
      </c>
      <c r="AE334">
        <v>0</v>
      </c>
      <c r="AF334">
        <v>3</v>
      </c>
      <c r="AG334">
        <v>2</v>
      </c>
      <c r="AH334">
        <v>0</v>
      </c>
      <c r="AI334" t="s">
        <v>434</v>
      </c>
      <c r="AJ334">
        <v>45.705635999999998</v>
      </c>
      <c r="AK334" t="s">
        <v>435</v>
      </c>
      <c r="AL334">
        <v>-89.422746000000004</v>
      </c>
      <c r="AM334">
        <v>100</v>
      </c>
      <c r="AN334">
        <v>7400</v>
      </c>
      <c r="AO334" t="s">
        <v>118</v>
      </c>
      <c r="AP334">
        <v>129</v>
      </c>
      <c r="AQ334">
        <v>102</v>
      </c>
      <c r="AR334">
        <v>1856</v>
      </c>
      <c r="AZ334">
        <v>1200</v>
      </c>
      <c r="BA334">
        <v>1</v>
      </c>
      <c r="BB334" t="str">
        <f t="shared" si="18"/>
        <v xml:space="preserve">N690LS  </v>
      </c>
      <c r="BC334">
        <v>1</v>
      </c>
      <c r="BE334">
        <v>0</v>
      </c>
      <c r="BF334">
        <v>0</v>
      </c>
      <c r="BG334">
        <v>0</v>
      </c>
      <c r="BH334">
        <v>7550</v>
      </c>
      <c r="BI334">
        <v>1</v>
      </c>
      <c r="BJ334">
        <v>1</v>
      </c>
      <c r="BK334">
        <v>1</v>
      </c>
      <c r="BL334">
        <v>0</v>
      </c>
      <c r="BO334">
        <v>0</v>
      </c>
      <c r="BP334">
        <v>0</v>
      </c>
      <c r="BW334" t="str">
        <f>"13:53:16.138"</f>
        <v>13:53:16.138</v>
      </c>
      <c r="CJ334">
        <v>0</v>
      </c>
      <c r="CK334">
        <v>2</v>
      </c>
      <c r="CL334">
        <v>0</v>
      </c>
      <c r="CM334">
        <v>2</v>
      </c>
      <c r="CN334">
        <v>0</v>
      </c>
      <c r="CO334">
        <v>6</v>
      </c>
      <c r="CP334" t="s">
        <v>119</v>
      </c>
      <c r="CQ334">
        <v>209</v>
      </c>
      <c r="CR334">
        <v>3</v>
      </c>
      <c r="CW334">
        <v>7163692</v>
      </c>
      <c r="CY334">
        <v>1</v>
      </c>
      <c r="CZ334">
        <v>0</v>
      </c>
      <c r="DA334">
        <v>1</v>
      </c>
      <c r="DB334">
        <v>0</v>
      </c>
      <c r="DC334">
        <v>0</v>
      </c>
      <c r="DD334">
        <v>0</v>
      </c>
      <c r="DE334">
        <v>0</v>
      </c>
      <c r="DF334">
        <v>0</v>
      </c>
      <c r="DG334">
        <v>0</v>
      </c>
      <c r="DH334">
        <v>0</v>
      </c>
      <c r="DI334">
        <v>0</v>
      </c>
    </row>
    <row r="335" spans="1:113" x14ac:dyDescent="0.3">
      <c r="A335" t="str">
        <f>"09/28/2021 13:53:17.272"</f>
        <v>09/28/2021 13:53:17.272</v>
      </c>
      <c r="C335" t="str">
        <f t="shared" si="17"/>
        <v>FFDFD3C0</v>
      </c>
      <c r="D335" t="s">
        <v>120</v>
      </c>
      <c r="E335">
        <v>12</v>
      </c>
      <c r="F335">
        <v>1012</v>
      </c>
      <c r="G335" t="s">
        <v>114</v>
      </c>
      <c r="J335" t="s">
        <v>121</v>
      </c>
      <c r="K335">
        <v>0</v>
      </c>
      <c r="L335">
        <v>3</v>
      </c>
      <c r="M335">
        <v>0</v>
      </c>
      <c r="N335">
        <v>2</v>
      </c>
      <c r="O335">
        <v>1</v>
      </c>
      <c r="P335">
        <v>0</v>
      </c>
      <c r="Q335">
        <v>0</v>
      </c>
      <c r="S335" t="str">
        <f>"13:53:17.031"</f>
        <v>13:53:17.031</v>
      </c>
      <c r="T335" t="str">
        <f>"13:53:16.631"</f>
        <v>13:53:16.631</v>
      </c>
      <c r="U335" t="str">
        <f t="shared" si="19"/>
        <v>A92BC1</v>
      </c>
      <c r="V335">
        <v>0</v>
      </c>
      <c r="W335">
        <v>0</v>
      </c>
      <c r="X335">
        <v>2</v>
      </c>
      <c r="Z335">
        <v>0</v>
      </c>
      <c r="AA335">
        <v>9</v>
      </c>
      <c r="AB335">
        <v>3</v>
      </c>
      <c r="AC335">
        <v>0</v>
      </c>
      <c r="AD335">
        <v>10</v>
      </c>
      <c r="AE335">
        <v>0</v>
      </c>
      <c r="AF335">
        <v>3</v>
      </c>
      <c r="AG335">
        <v>2</v>
      </c>
      <c r="AH335">
        <v>0</v>
      </c>
      <c r="AI335" t="s">
        <v>436</v>
      </c>
      <c r="AJ335">
        <v>45.706065000000002</v>
      </c>
      <c r="AK335" t="s">
        <v>437</v>
      </c>
      <c r="AL335">
        <v>-89.421972999999994</v>
      </c>
      <c r="AM335">
        <v>100</v>
      </c>
      <c r="AN335">
        <v>7400</v>
      </c>
      <c r="AO335" t="s">
        <v>118</v>
      </c>
      <c r="AP335">
        <v>129</v>
      </c>
      <c r="AQ335">
        <v>103</v>
      </c>
      <c r="AR335">
        <v>1856</v>
      </c>
      <c r="AZ335">
        <v>1200</v>
      </c>
      <c r="BA335">
        <v>1</v>
      </c>
      <c r="BB335" t="str">
        <f t="shared" si="18"/>
        <v xml:space="preserve">N690LS  </v>
      </c>
      <c r="BC335">
        <v>1</v>
      </c>
      <c r="BE335">
        <v>0</v>
      </c>
      <c r="BF335">
        <v>0</v>
      </c>
      <c r="BG335">
        <v>0</v>
      </c>
      <c r="BH335">
        <v>7575</v>
      </c>
      <c r="BI335">
        <v>1</v>
      </c>
      <c r="BJ335">
        <v>1</v>
      </c>
      <c r="BK335">
        <v>1</v>
      </c>
      <c r="BL335">
        <v>0</v>
      </c>
      <c r="BO335">
        <v>0</v>
      </c>
      <c r="BP335">
        <v>0</v>
      </c>
      <c r="BW335" t="str">
        <f>"13:53:17.033"</f>
        <v>13:53:17.033</v>
      </c>
      <c r="CJ335">
        <v>0</v>
      </c>
      <c r="CK335">
        <v>2</v>
      </c>
      <c r="CL335">
        <v>0</v>
      </c>
      <c r="CM335">
        <v>2</v>
      </c>
      <c r="CN335">
        <v>0</v>
      </c>
      <c r="CO335">
        <v>6</v>
      </c>
      <c r="CP335" t="s">
        <v>119</v>
      </c>
      <c r="CQ335">
        <v>210</v>
      </c>
      <c r="CR335">
        <v>2</v>
      </c>
      <c r="CW335">
        <v>2183884</v>
      </c>
      <c r="CY335">
        <v>1</v>
      </c>
      <c r="CZ335">
        <v>0</v>
      </c>
      <c r="DA335">
        <v>0</v>
      </c>
      <c r="DB335">
        <v>0</v>
      </c>
      <c r="DC335">
        <v>0</v>
      </c>
      <c r="DD335">
        <v>0</v>
      </c>
      <c r="DE335">
        <v>0</v>
      </c>
      <c r="DF335">
        <v>0</v>
      </c>
      <c r="DG335">
        <v>0</v>
      </c>
      <c r="DH335">
        <v>0</v>
      </c>
      <c r="DI335">
        <v>0</v>
      </c>
    </row>
    <row r="336" spans="1:113" x14ac:dyDescent="0.3">
      <c r="A336" t="str">
        <f>"09/28/2021 13:53:17.303"</f>
        <v>09/28/2021 13:53:17.303</v>
      </c>
      <c r="C336" t="str">
        <f t="shared" si="17"/>
        <v>FFDFD3C0</v>
      </c>
      <c r="D336" t="s">
        <v>113</v>
      </c>
      <c r="E336">
        <v>7</v>
      </c>
      <c r="H336">
        <v>170</v>
      </c>
      <c r="I336" t="s">
        <v>114</v>
      </c>
      <c r="J336" t="s">
        <v>115</v>
      </c>
      <c r="K336">
        <v>0</v>
      </c>
      <c r="L336">
        <v>3</v>
      </c>
      <c r="M336">
        <v>0</v>
      </c>
      <c r="N336">
        <v>2</v>
      </c>
      <c r="O336">
        <v>1</v>
      </c>
      <c r="P336">
        <v>0</v>
      </c>
      <c r="Q336">
        <v>0</v>
      </c>
      <c r="S336" t="str">
        <f>"13:53:17.031"</f>
        <v>13:53:17.031</v>
      </c>
      <c r="T336" t="str">
        <f>"13:53:16.631"</f>
        <v>13:53:16.631</v>
      </c>
      <c r="U336" t="str">
        <f t="shared" si="19"/>
        <v>A92BC1</v>
      </c>
      <c r="V336">
        <v>0</v>
      </c>
      <c r="W336">
        <v>0</v>
      </c>
      <c r="X336">
        <v>2</v>
      </c>
      <c r="Z336">
        <v>0</v>
      </c>
      <c r="AA336">
        <v>9</v>
      </c>
      <c r="AB336">
        <v>3</v>
      </c>
      <c r="AC336">
        <v>0</v>
      </c>
      <c r="AD336">
        <v>10</v>
      </c>
      <c r="AE336">
        <v>0</v>
      </c>
      <c r="AF336">
        <v>3</v>
      </c>
      <c r="AG336">
        <v>2</v>
      </c>
      <c r="AH336">
        <v>0</v>
      </c>
      <c r="AI336" t="s">
        <v>436</v>
      </c>
      <c r="AJ336">
        <v>45.706065000000002</v>
      </c>
      <c r="AK336" t="s">
        <v>437</v>
      </c>
      <c r="AL336">
        <v>-89.421972999999994</v>
      </c>
      <c r="AM336">
        <v>100</v>
      </c>
      <c r="AN336">
        <v>7400</v>
      </c>
      <c r="AO336" t="s">
        <v>118</v>
      </c>
      <c r="AP336">
        <v>129</v>
      </c>
      <c r="AQ336">
        <v>103</v>
      </c>
      <c r="AR336">
        <v>1856</v>
      </c>
      <c r="AZ336">
        <v>1200</v>
      </c>
      <c r="BA336">
        <v>1</v>
      </c>
      <c r="BB336" t="str">
        <f t="shared" si="18"/>
        <v xml:space="preserve">N690LS  </v>
      </c>
      <c r="BC336">
        <v>1</v>
      </c>
      <c r="BE336">
        <v>0</v>
      </c>
      <c r="BF336">
        <v>0</v>
      </c>
      <c r="BG336">
        <v>0</v>
      </c>
      <c r="BH336">
        <v>7575</v>
      </c>
      <c r="BI336">
        <v>1</v>
      </c>
      <c r="BJ336">
        <v>1</v>
      </c>
      <c r="BK336">
        <v>1</v>
      </c>
      <c r="BL336">
        <v>0</v>
      </c>
      <c r="BO336">
        <v>0</v>
      </c>
      <c r="BP336">
        <v>0</v>
      </c>
      <c r="BW336" t="str">
        <f>"13:53:17.033"</f>
        <v>13:53:17.033</v>
      </c>
      <c r="CJ336">
        <v>0</v>
      </c>
      <c r="CK336">
        <v>2</v>
      </c>
      <c r="CL336">
        <v>0</v>
      </c>
      <c r="CM336">
        <v>2</v>
      </c>
      <c r="CN336">
        <v>0</v>
      </c>
      <c r="CO336">
        <v>6</v>
      </c>
      <c r="CP336" t="s">
        <v>119</v>
      </c>
      <c r="CQ336">
        <v>210</v>
      </c>
      <c r="CR336">
        <v>2</v>
      </c>
      <c r="CW336">
        <v>2183884</v>
      </c>
      <c r="CY336">
        <v>1</v>
      </c>
      <c r="CZ336">
        <v>0</v>
      </c>
      <c r="DA336">
        <v>1</v>
      </c>
      <c r="DB336">
        <v>0</v>
      </c>
      <c r="DC336">
        <v>0</v>
      </c>
      <c r="DD336">
        <v>0</v>
      </c>
      <c r="DE336">
        <v>0</v>
      </c>
      <c r="DF336">
        <v>0</v>
      </c>
      <c r="DG336">
        <v>0</v>
      </c>
      <c r="DH336">
        <v>0</v>
      </c>
      <c r="DI336">
        <v>0</v>
      </c>
    </row>
    <row r="337" spans="1:113" x14ac:dyDescent="0.3">
      <c r="A337" t="str">
        <f>"09/28/2021 13:53:18.257"</f>
        <v>09/28/2021 13:53:18.257</v>
      </c>
      <c r="C337" t="str">
        <f t="shared" si="17"/>
        <v>FFDFD3C0</v>
      </c>
      <c r="D337" t="s">
        <v>113</v>
      </c>
      <c r="E337">
        <v>7</v>
      </c>
      <c r="H337">
        <v>170</v>
      </c>
      <c r="I337" t="s">
        <v>114</v>
      </c>
      <c r="J337" t="s">
        <v>115</v>
      </c>
      <c r="K337">
        <v>0</v>
      </c>
      <c r="L337">
        <v>3</v>
      </c>
      <c r="M337">
        <v>0</v>
      </c>
      <c r="N337">
        <v>2</v>
      </c>
      <c r="O337">
        <v>1</v>
      </c>
      <c r="P337">
        <v>0</v>
      </c>
      <c r="Q337">
        <v>0</v>
      </c>
      <c r="S337" t="str">
        <f>"13:53:18.047"</f>
        <v>13:53:18.047</v>
      </c>
      <c r="T337" t="str">
        <f>"13:53:17.547"</f>
        <v>13:53:17.547</v>
      </c>
      <c r="U337" t="str">
        <f t="shared" si="19"/>
        <v>A92BC1</v>
      </c>
      <c r="V337">
        <v>0</v>
      </c>
      <c r="W337">
        <v>0</v>
      </c>
      <c r="X337">
        <v>2</v>
      </c>
      <c r="Z337">
        <v>0</v>
      </c>
      <c r="AA337">
        <v>9</v>
      </c>
      <c r="AB337">
        <v>3</v>
      </c>
      <c r="AC337">
        <v>0</v>
      </c>
      <c r="AD337">
        <v>10</v>
      </c>
      <c r="AE337">
        <v>0</v>
      </c>
      <c r="AF337">
        <v>3</v>
      </c>
      <c r="AG337">
        <v>2</v>
      </c>
      <c r="AH337">
        <v>0</v>
      </c>
      <c r="AI337" t="s">
        <v>438</v>
      </c>
      <c r="AJ337">
        <v>45.706580000000002</v>
      </c>
      <c r="AK337" t="s">
        <v>439</v>
      </c>
      <c r="AL337">
        <v>-89.421092999999999</v>
      </c>
      <c r="AM337">
        <v>100</v>
      </c>
      <c r="AN337">
        <v>7400</v>
      </c>
      <c r="AO337" t="s">
        <v>118</v>
      </c>
      <c r="AP337">
        <v>129</v>
      </c>
      <c r="AQ337">
        <v>103</v>
      </c>
      <c r="AR337">
        <v>1856</v>
      </c>
      <c r="AZ337">
        <v>1200</v>
      </c>
      <c r="BA337">
        <v>1</v>
      </c>
      <c r="BB337" t="str">
        <f t="shared" si="18"/>
        <v xml:space="preserve">N690LS  </v>
      </c>
      <c r="BC337">
        <v>1</v>
      </c>
      <c r="BE337">
        <v>0</v>
      </c>
      <c r="BF337">
        <v>0</v>
      </c>
      <c r="BG337">
        <v>0</v>
      </c>
      <c r="BH337">
        <v>7600</v>
      </c>
      <c r="BI337">
        <v>1</v>
      </c>
      <c r="BJ337">
        <v>1</v>
      </c>
      <c r="BK337">
        <v>1</v>
      </c>
      <c r="BL337">
        <v>0</v>
      </c>
      <c r="BO337">
        <v>0</v>
      </c>
      <c r="BP337">
        <v>0</v>
      </c>
      <c r="BW337" t="str">
        <f>"13:53:18.049"</f>
        <v>13:53:18.049</v>
      </c>
      <c r="CJ337">
        <v>0</v>
      </c>
      <c r="CK337">
        <v>2</v>
      </c>
      <c r="CL337">
        <v>0</v>
      </c>
      <c r="CM337">
        <v>2</v>
      </c>
      <c r="CN337">
        <v>0</v>
      </c>
      <c r="CO337">
        <v>5</v>
      </c>
      <c r="CP337" t="s">
        <v>119</v>
      </c>
      <c r="CQ337">
        <v>210</v>
      </c>
      <c r="CR337">
        <v>2</v>
      </c>
      <c r="CW337">
        <v>2184539</v>
      </c>
      <c r="CY337">
        <v>1</v>
      </c>
      <c r="CZ337">
        <v>0</v>
      </c>
      <c r="DA337">
        <v>0</v>
      </c>
      <c r="DB337">
        <v>0</v>
      </c>
      <c r="DC337">
        <v>0</v>
      </c>
      <c r="DD337">
        <v>0</v>
      </c>
      <c r="DE337">
        <v>0</v>
      </c>
      <c r="DF337">
        <v>0</v>
      </c>
      <c r="DG337">
        <v>0</v>
      </c>
      <c r="DH337">
        <v>0</v>
      </c>
      <c r="DI337">
        <v>0</v>
      </c>
    </row>
    <row r="338" spans="1:113" x14ac:dyDescent="0.3">
      <c r="A338" t="str">
        <f>"09/28/2021 13:53:18.272"</f>
        <v>09/28/2021 13:53:18.272</v>
      </c>
      <c r="C338" t="str">
        <f t="shared" si="17"/>
        <v>FFDFD3C0</v>
      </c>
      <c r="D338" t="s">
        <v>120</v>
      </c>
      <c r="E338">
        <v>12</v>
      </c>
      <c r="F338">
        <v>1012</v>
      </c>
      <c r="G338" t="s">
        <v>114</v>
      </c>
      <c r="J338" t="s">
        <v>121</v>
      </c>
      <c r="K338">
        <v>0</v>
      </c>
      <c r="L338">
        <v>3</v>
      </c>
      <c r="M338">
        <v>0</v>
      </c>
      <c r="N338">
        <v>2</v>
      </c>
      <c r="O338">
        <v>1</v>
      </c>
      <c r="P338">
        <v>0</v>
      </c>
      <c r="Q338">
        <v>0</v>
      </c>
      <c r="S338" t="str">
        <f>"13:53:18.047"</f>
        <v>13:53:18.047</v>
      </c>
      <c r="T338" t="str">
        <f>"13:53:17.547"</f>
        <v>13:53:17.547</v>
      </c>
      <c r="U338" t="str">
        <f t="shared" si="19"/>
        <v>A92BC1</v>
      </c>
      <c r="V338">
        <v>0</v>
      </c>
      <c r="W338">
        <v>0</v>
      </c>
      <c r="X338">
        <v>2</v>
      </c>
      <c r="Z338">
        <v>0</v>
      </c>
      <c r="AA338">
        <v>9</v>
      </c>
      <c r="AB338">
        <v>3</v>
      </c>
      <c r="AC338">
        <v>0</v>
      </c>
      <c r="AD338">
        <v>10</v>
      </c>
      <c r="AE338">
        <v>0</v>
      </c>
      <c r="AF338">
        <v>3</v>
      </c>
      <c r="AG338">
        <v>2</v>
      </c>
      <c r="AH338">
        <v>0</v>
      </c>
      <c r="AI338" t="s">
        <v>438</v>
      </c>
      <c r="AJ338">
        <v>45.706580000000002</v>
      </c>
      <c r="AK338" t="s">
        <v>439</v>
      </c>
      <c r="AL338">
        <v>-89.421092999999999</v>
      </c>
      <c r="AM338">
        <v>100</v>
      </c>
      <c r="AN338">
        <v>7400</v>
      </c>
      <c r="AO338" t="s">
        <v>118</v>
      </c>
      <c r="AP338">
        <v>129</v>
      </c>
      <c r="AQ338">
        <v>103</v>
      </c>
      <c r="AR338">
        <v>1856</v>
      </c>
      <c r="AZ338">
        <v>1200</v>
      </c>
      <c r="BA338">
        <v>1</v>
      </c>
      <c r="BB338" t="str">
        <f t="shared" si="18"/>
        <v xml:space="preserve">N690LS  </v>
      </c>
      <c r="BC338">
        <v>1</v>
      </c>
      <c r="BE338">
        <v>0</v>
      </c>
      <c r="BF338">
        <v>0</v>
      </c>
      <c r="BG338">
        <v>0</v>
      </c>
      <c r="BH338">
        <v>7600</v>
      </c>
      <c r="BI338">
        <v>1</v>
      </c>
      <c r="BJ338">
        <v>1</v>
      </c>
      <c r="BK338">
        <v>1</v>
      </c>
      <c r="BL338">
        <v>0</v>
      </c>
      <c r="BO338">
        <v>0</v>
      </c>
      <c r="BP338">
        <v>0</v>
      </c>
      <c r="BW338" t="str">
        <f>"13:53:18.049"</f>
        <v>13:53:18.049</v>
      </c>
      <c r="CJ338">
        <v>0</v>
      </c>
      <c r="CK338">
        <v>2</v>
      </c>
      <c r="CL338">
        <v>0</v>
      </c>
      <c r="CM338">
        <v>2</v>
      </c>
      <c r="CN338">
        <v>0</v>
      </c>
      <c r="CO338">
        <v>5</v>
      </c>
      <c r="CP338" t="s">
        <v>119</v>
      </c>
      <c r="CQ338">
        <v>210</v>
      </c>
      <c r="CR338">
        <v>2</v>
      </c>
      <c r="CW338">
        <v>2184539</v>
      </c>
      <c r="CY338">
        <v>1</v>
      </c>
      <c r="CZ338">
        <v>0</v>
      </c>
      <c r="DA338">
        <v>1</v>
      </c>
      <c r="DB338">
        <v>0</v>
      </c>
      <c r="DC338">
        <v>0</v>
      </c>
      <c r="DD338">
        <v>0</v>
      </c>
      <c r="DE338">
        <v>0</v>
      </c>
      <c r="DF338">
        <v>0</v>
      </c>
      <c r="DG338">
        <v>0</v>
      </c>
      <c r="DH338">
        <v>0</v>
      </c>
      <c r="DI338">
        <v>0</v>
      </c>
    </row>
    <row r="339" spans="1:113" x14ac:dyDescent="0.3">
      <c r="A339" t="str">
        <f>"09/28/2021 13:53:19.148"</f>
        <v>09/28/2021 13:53:19.148</v>
      </c>
      <c r="C339" t="str">
        <f t="shared" si="17"/>
        <v>FFDFD3C0</v>
      </c>
      <c r="D339" t="s">
        <v>113</v>
      </c>
      <c r="E339">
        <v>7</v>
      </c>
      <c r="H339">
        <v>170</v>
      </c>
      <c r="I339" t="s">
        <v>114</v>
      </c>
      <c r="J339" t="s">
        <v>115</v>
      </c>
      <c r="K339">
        <v>0</v>
      </c>
      <c r="L339">
        <v>3</v>
      </c>
      <c r="M339">
        <v>0</v>
      </c>
      <c r="N339">
        <v>2</v>
      </c>
      <c r="O339">
        <v>1</v>
      </c>
      <c r="P339">
        <v>0</v>
      </c>
      <c r="Q339">
        <v>0</v>
      </c>
      <c r="S339" t="str">
        <f>"13:53:18.938"</f>
        <v>13:53:18.938</v>
      </c>
      <c r="T339" t="str">
        <f>"13:53:18.538"</f>
        <v>13:53:18.538</v>
      </c>
      <c r="U339" t="str">
        <f t="shared" si="19"/>
        <v>A92BC1</v>
      </c>
      <c r="V339">
        <v>0</v>
      </c>
      <c r="W339">
        <v>0</v>
      </c>
      <c r="X339">
        <v>2</v>
      </c>
      <c r="Z339">
        <v>0</v>
      </c>
      <c r="AA339">
        <v>9</v>
      </c>
      <c r="AB339">
        <v>3</v>
      </c>
      <c r="AC339">
        <v>0</v>
      </c>
      <c r="AD339">
        <v>10</v>
      </c>
      <c r="AE339">
        <v>0</v>
      </c>
      <c r="AF339">
        <v>3</v>
      </c>
      <c r="AG339">
        <v>2</v>
      </c>
      <c r="AH339">
        <v>0</v>
      </c>
      <c r="AI339" t="s">
        <v>440</v>
      </c>
      <c r="AJ339">
        <v>45.706966000000001</v>
      </c>
      <c r="AK339" t="s">
        <v>441</v>
      </c>
      <c r="AL339">
        <v>-89.420342000000005</v>
      </c>
      <c r="AM339">
        <v>100</v>
      </c>
      <c r="AN339">
        <v>7500</v>
      </c>
      <c r="AO339" t="s">
        <v>118</v>
      </c>
      <c r="AP339">
        <v>129</v>
      </c>
      <c r="AQ339">
        <v>103</v>
      </c>
      <c r="AR339">
        <v>1856</v>
      </c>
      <c r="AZ339">
        <v>1200</v>
      </c>
      <c r="BA339">
        <v>1</v>
      </c>
      <c r="BB339" t="str">
        <f t="shared" si="18"/>
        <v xml:space="preserve">N690LS  </v>
      </c>
      <c r="BC339">
        <v>1</v>
      </c>
      <c r="BE339">
        <v>0</v>
      </c>
      <c r="BF339">
        <v>0</v>
      </c>
      <c r="BG339">
        <v>0</v>
      </c>
      <c r="BH339">
        <v>7625</v>
      </c>
      <c r="BI339">
        <v>1</v>
      </c>
      <c r="BJ339">
        <v>1</v>
      </c>
      <c r="BK339">
        <v>1</v>
      </c>
      <c r="BL339">
        <v>0</v>
      </c>
      <c r="BO339">
        <v>0</v>
      </c>
      <c r="BP339">
        <v>0</v>
      </c>
      <c r="BW339" t="str">
        <f>"13:53:18.945"</f>
        <v>13:53:18.945</v>
      </c>
      <c r="CJ339">
        <v>0</v>
      </c>
      <c r="CK339">
        <v>2</v>
      </c>
      <c r="CL339">
        <v>0</v>
      </c>
      <c r="CM339">
        <v>2</v>
      </c>
      <c r="CN339">
        <v>0</v>
      </c>
      <c r="CO339">
        <v>6</v>
      </c>
      <c r="CP339" t="s">
        <v>119</v>
      </c>
      <c r="CQ339">
        <v>210</v>
      </c>
      <c r="CR339">
        <v>2</v>
      </c>
      <c r="CW339">
        <v>2185061</v>
      </c>
      <c r="CY339">
        <v>1</v>
      </c>
      <c r="CZ339">
        <v>0</v>
      </c>
      <c r="DA339">
        <v>0</v>
      </c>
      <c r="DB339">
        <v>0</v>
      </c>
      <c r="DC339">
        <v>0</v>
      </c>
      <c r="DD339">
        <v>0</v>
      </c>
      <c r="DE339">
        <v>0</v>
      </c>
      <c r="DF339">
        <v>0</v>
      </c>
      <c r="DG339">
        <v>0</v>
      </c>
      <c r="DH339">
        <v>0</v>
      </c>
      <c r="DI339">
        <v>0</v>
      </c>
    </row>
    <row r="340" spans="1:113" x14ac:dyDescent="0.3">
      <c r="A340" t="str">
        <f>"09/28/2021 13:53:19.133"</f>
        <v>09/28/2021 13:53:19.133</v>
      </c>
      <c r="C340" t="str">
        <f t="shared" si="17"/>
        <v>FFDFD3C0</v>
      </c>
      <c r="D340" t="s">
        <v>120</v>
      </c>
      <c r="E340">
        <v>12</v>
      </c>
      <c r="F340">
        <v>1012</v>
      </c>
      <c r="G340" t="s">
        <v>114</v>
      </c>
      <c r="J340" t="s">
        <v>121</v>
      </c>
      <c r="K340">
        <v>0</v>
      </c>
      <c r="L340">
        <v>3</v>
      </c>
      <c r="M340">
        <v>0</v>
      </c>
      <c r="N340">
        <v>2</v>
      </c>
      <c r="O340">
        <v>1</v>
      </c>
      <c r="P340">
        <v>0</v>
      </c>
      <c r="Q340">
        <v>0</v>
      </c>
      <c r="S340" t="str">
        <f>"13:53:18.938"</f>
        <v>13:53:18.938</v>
      </c>
      <c r="T340" t="str">
        <f>"13:53:18.538"</f>
        <v>13:53:18.538</v>
      </c>
      <c r="U340" t="str">
        <f t="shared" si="19"/>
        <v>A92BC1</v>
      </c>
      <c r="V340">
        <v>0</v>
      </c>
      <c r="W340">
        <v>0</v>
      </c>
      <c r="X340">
        <v>2</v>
      </c>
      <c r="Z340">
        <v>0</v>
      </c>
      <c r="AA340">
        <v>9</v>
      </c>
      <c r="AB340">
        <v>3</v>
      </c>
      <c r="AC340">
        <v>0</v>
      </c>
      <c r="AD340">
        <v>10</v>
      </c>
      <c r="AE340">
        <v>0</v>
      </c>
      <c r="AF340">
        <v>3</v>
      </c>
      <c r="AG340">
        <v>2</v>
      </c>
      <c r="AH340">
        <v>0</v>
      </c>
      <c r="AI340" t="s">
        <v>440</v>
      </c>
      <c r="AJ340">
        <v>45.706966000000001</v>
      </c>
      <c r="AK340" t="s">
        <v>441</v>
      </c>
      <c r="AL340">
        <v>-89.420342000000005</v>
      </c>
      <c r="AM340">
        <v>100</v>
      </c>
      <c r="AN340">
        <v>7500</v>
      </c>
      <c r="AO340" t="s">
        <v>118</v>
      </c>
      <c r="AP340">
        <v>129</v>
      </c>
      <c r="AQ340">
        <v>103</v>
      </c>
      <c r="AR340">
        <v>1856</v>
      </c>
      <c r="AZ340">
        <v>1200</v>
      </c>
      <c r="BA340">
        <v>1</v>
      </c>
      <c r="BB340" t="str">
        <f t="shared" si="18"/>
        <v xml:space="preserve">N690LS  </v>
      </c>
      <c r="BC340">
        <v>1</v>
      </c>
      <c r="BE340">
        <v>0</v>
      </c>
      <c r="BF340">
        <v>0</v>
      </c>
      <c r="BG340">
        <v>0</v>
      </c>
      <c r="BH340">
        <v>7625</v>
      </c>
      <c r="BI340">
        <v>1</v>
      </c>
      <c r="BJ340">
        <v>1</v>
      </c>
      <c r="BK340">
        <v>1</v>
      </c>
      <c r="BL340">
        <v>0</v>
      </c>
      <c r="BO340">
        <v>0</v>
      </c>
      <c r="BP340">
        <v>0</v>
      </c>
      <c r="BW340" t="str">
        <f>"13:53:18.945"</f>
        <v>13:53:18.945</v>
      </c>
      <c r="CJ340">
        <v>0</v>
      </c>
      <c r="CK340">
        <v>2</v>
      </c>
      <c r="CL340">
        <v>0</v>
      </c>
      <c r="CM340">
        <v>2</v>
      </c>
      <c r="CN340">
        <v>0</v>
      </c>
      <c r="CO340">
        <v>6</v>
      </c>
      <c r="CP340" t="s">
        <v>119</v>
      </c>
      <c r="CQ340">
        <v>210</v>
      </c>
      <c r="CR340">
        <v>2</v>
      </c>
      <c r="CW340">
        <v>2185061</v>
      </c>
      <c r="CY340">
        <v>1</v>
      </c>
      <c r="CZ340">
        <v>0</v>
      </c>
      <c r="DA340">
        <v>1</v>
      </c>
      <c r="DB340">
        <v>0</v>
      </c>
      <c r="DC340">
        <v>0</v>
      </c>
      <c r="DD340">
        <v>0</v>
      </c>
      <c r="DE340">
        <v>0</v>
      </c>
      <c r="DF340">
        <v>0</v>
      </c>
      <c r="DG340">
        <v>0</v>
      </c>
      <c r="DH340">
        <v>0</v>
      </c>
      <c r="DI340">
        <v>0</v>
      </c>
    </row>
    <row r="341" spans="1:113" x14ac:dyDescent="0.3">
      <c r="A341" t="str">
        <f>"09/28/2021 13:53:20.055"</f>
        <v>09/28/2021 13:53:20.055</v>
      </c>
      <c r="C341" t="str">
        <f t="shared" si="17"/>
        <v>FFDFD3C0</v>
      </c>
      <c r="D341" t="s">
        <v>120</v>
      </c>
      <c r="E341">
        <v>12</v>
      </c>
      <c r="F341">
        <v>1012</v>
      </c>
      <c r="G341" t="s">
        <v>114</v>
      </c>
      <c r="J341" t="s">
        <v>121</v>
      </c>
      <c r="K341">
        <v>0</v>
      </c>
      <c r="L341">
        <v>3</v>
      </c>
      <c r="M341">
        <v>0</v>
      </c>
      <c r="N341">
        <v>2</v>
      </c>
      <c r="O341">
        <v>1</v>
      </c>
      <c r="P341">
        <v>0</v>
      </c>
      <c r="Q341">
        <v>0</v>
      </c>
      <c r="S341" t="str">
        <f>"13:53:19.844"</f>
        <v>13:53:19.844</v>
      </c>
      <c r="T341" t="str">
        <f>"13:53:19.444"</f>
        <v>13:53:19.444</v>
      </c>
      <c r="U341" t="str">
        <f t="shared" si="19"/>
        <v>A92BC1</v>
      </c>
      <c r="V341">
        <v>0</v>
      </c>
      <c r="W341">
        <v>0</v>
      </c>
      <c r="X341">
        <v>2</v>
      </c>
      <c r="Z341">
        <v>0</v>
      </c>
      <c r="AA341">
        <v>9</v>
      </c>
      <c r="AB341">
        <v>3</v>
      </c>
      <c r="AC341">
        <v>0</v>
      </c>
      <c r="AD341">
        <v>10</v>
      </c>
      <c r="AE341">
        <v>0</v>
      </c>
      <c r="AF341">
        <v>3</v>
      </c>
      <c r="AG341">
        <v>2</v>
      </c>
      <c r="AH341">
        <v>0</v>
      </c>
      <c r="AI341" t="s">
        <v>442</v>
      </c>
      <c r="AJ341">
        <v>45.707417</v>
      </c>
      <c r="AK341" t="s">
        <v>443</v>
      </c>
      <c r="AL341">
        <v>-89.419569999999993</v>
      </c>
      <c r="AM341">
        <v>100</v>
      </c>
      <c r="AN341">
        <v>7500</v>
      </c>
      <c r="AO341" t="s">
        <v>118</v>
      </c>
      <c r="AP341">
        <v>130</v>
      </c>
      <c r="AQ341">
        <v>103</v>
      </c>
      <c r="AR341">
        <v>1856</v>
      </c>
      <c r="AZ341">
        <v>1200</v>
      </c>
      <c r="BA341">
        <v>1</v>
      </c>
      <c r="BB341" t="str">
        <f t="shared" si="18"/>
        <v xml:space="preserve">N690LS  </v>
      </c>
      <c r="BC341">
        <v>1</v>
      </c>
      <c r="BE341">
        <v>0</v>
      </c>
      <c r="BF341">
        <v>0</v>
      </c>
      <c r="BG341">
        <v>0</v>
      </c>
      <c r="BH341">
        <v>7650</v>
      </c>
      <c r="BI341">
        <v>1</v>
      </c>
      <c r="BJ341">
        <v>1</v>
      </c>
      <c r="BK341">
        <v>1</v>
      </c>
      <c r="BL341">
        <v>0</v>
      </c>
      <c r="BO341">
        <v>0</v>
      </c>
      <c r="BP341">
        <v>0</v>
      </c>
      <c r="BW341" t="str">
        <f>"13:53:19.844"</f>
        <v>13:53:19.844</v>
      </c>
      <c r="CJ341">
        <v>0</v>
      </c>
      <c r="CK341">
        <v>2</v>
      </c>
      <c r="CL341">
        <v>0</v>
      </c>
      <c r="CM341">
        <v>2</v>
      </c>
      <c r="CN341">
        <v>0</v>
      </c>
      <c r="CO341">
        <v>7</v>
      </c>
      <c r="CP341" t="s">
        <v>119</v>
      </c>
      <c r="CQ341">
        <v>197</v>
      </c>
      <c r="CR341">
        <v>2</v>
      </c>
      <c r="CW341">
        <v>2241895</v>
      </c>
      <c r="CY341">
        <v>1</v>
      </c>
      <c r="CZ341">
        <v>0</v>
      </c>
      <c r="DA341">
        <v>0</v>
      </c>
      <c r="DB341">
        <v>0</v>
      </c>
      <c r="DC341">
        <v>0</v>
      </c>
      <c r="DD341">
        <v>0</v>
      </c>
      <c r="DE341">
        <v>0</v>
      </c>
      <c r="DF341">
        <v>0</v>
      </c>
      <c r="DG341">
        <v>0</v>
      </c>
      <c r="DH341">
        <v>0</v>
      </c>
      <c r="DI341">
        <v>0</v>
      </c>
    </row>
    <row r="342" spans="1:113" x14ac:dyDescent="0.3">
      <c r="A342" t="str">
        <f>"09/28/2021 13:53:20.055"</f>
        <v>09/28/2021 13:53:20.055</v>
      </c>
      <c r="C342" t="str">
        <f t="shared" si="17"/>
        <v>FFDFD3C0</v>
      </c>
      <c r="D342" t="s">
        <v>113</v>
      </c>
      <c r="E342">
        <v>7</v>
      </c>
      <c r="H342">
        <v>170</v>
      </c>
      <c r="I342" t="s">
        <v>114</v>
      </c>
      <c r="J342" t="s">
        <v>115</v>
      </c>
      <c r="K342">
        <v>0</v>
      </c>
      <c r="L342">
        <v>3</v>
      </c>
      <c r="M342">
        <v>0</v>
      </c>
      <c r="N342">
        <v>2</v>
      </c>
      <c r="O342">
        <v>1</v>
      </c>
      <c r="P342">
        <v>0</v>
      </c>
      <c r="Q342">
        <v>0</v>
      </c>
      <c r="S342" t="str">
        <f>"13:53:19.844"</f>
        <v>13:53:19.844</v>
      </c>
      <c r="T342" t="str">
        <f>"13:53:19.444"</f>
        <v>13:53:19.444</v>
      </c>
      <c r="U342" t="str">
        <f t="shared" si="19"/>
        <v>A92BC1</v>
      </c>
      <c r="V342">
        <v>0</v>
      </c>
      <c r="W342">
        <v>0</v>
      </c>
      <c r="X342">
        <v>2</v>
      </c>
      <c r="Z342">
        <v>0</v>
      </c>
      <c r="AA342">
        <v>9</v>
      </c>
      <c r="AB342">
        <v>3</v>
      </c>
      <c r="AC342">
        <v>0</v>
      </c>
      <c r="AD342">
        <v>10</v>
      </c>
      <c r="AE342">
        <v>0</v>
      </c>
      <c r="AF342">
        <v>3</v>
      </c>
      <c r="AG342">
        <v>2</v>
      </c>
      <c r="AH342">
        <v>0</v>
      </c>
      <c r="AI342" t="s">
        <v>442</v>
      </c>
      <c r="AJ342">
        <v>45.707417</v>
      </c>
      <c r="AK342" t="s">
        <v>443</v>
      </c>
      <c r="AL342">
        <v>-89.419569999999993</v>
      </c>
      <c r="AM342">
        <v>100</v>
      </c>
      <c r="AN342">
        <v>7500</v>
      </c>
      <c r="AO342" t="s">
        <v>118</v>
      </c>
      <c r="AP342">
        <v>130</v>
      </c>
      <c r="AQ342">
        <v>103</v>
      </c>
      <c r="AR342">
        <v>1856</v>
      </c>
      <c r="AZ342">
        <v>1200</v>
      </c>
      <c r="BA342">
        <v>1</v>
      </c>
      <c r="BB342" t="str">
        <f t="shared" si="18"/>
        <v xml:space="preserve">N690LS  </v>
      </c>
      <c r="BC342">
        <v>1</v>
      </c>
      <c r="BE342">
        <v>0</v>
      </c>
      <c r="BF342">
        <v>0</v>
      </c>
      <c r="BG342">
        <v>0</v>
      </c>
      <c r="BH342">
        <v>7650</v>
      </c>
      <c r="BI342">
        <v>1</v>
      </c>
      <c r="BJ342">
        <v>1</v>
      </c>
      <c r="BK342">
        <v>1</v>
      </c>
      <c r="BL342">
        <v>0</v>
      </c>
      <c r="BO342">
        <v>0</v>
      </c>
      <c r="BP342">
        <v>0</v>
      </c>
      <c r="BW342" t="str">
        <f>"13:53:19.844"</f>
        <v>13:53:19.844</v>
      </c>
      <c r="CJ342">
        <v>0</v>
      </c>
      <c r="CK342">
        <v>2</v>
      </c>
      <c r="CL342">
        <v>0</v>
      </c>
      <c r="CM342">
        <v>2</v>
      </c>
      <c r="CN342">
        <v>0</v>
      </c>
      <c r="CO342">
        <v>7</v>
      </c>
      <c r="CP342" t="s">
        <v>119</v>
      </c>
      <c r="CQ342">
        <v>197</v>
      </c>
      <c r="CR342">
        <v>2</v>
      </c>
      <c r="CW342">
        <v>2241895</v>
      </c>
      <c r="CY342">
        <v>1</v>
      </c>
      <c r="CZ342">
        <v>0</v>
      </c>
      <c r="DA342">
        <v>1</v>
      </c>
      <c r="DB342">
        <v>0</v>
      </c>
      <c r="DC342">
        <v>0</v>
      </c>
      <c r="DD342">
        <v>0</v>
      </c>
      <c r="DE342">
        <v>0</v>
      </c>
      <c r="DF342">
        <v>0</v>
      </c>
      <c r="DG342">
        <v>0</v>
      </c>
      <c r="DH342">
        <v>0</v>
      </c>
      <c r="DI342">
        <v>0</v>
      </c>
    </row>
    <row r="343" spans="1:113" x14ac:dyDescent="0.3">
      <c r="A343" t="str">
        <f>"09/28/2021 13:53:21.117"</f>
        <v>09/28/2021 13:53:21.117</v>
      </c>
      <c r="C343" t="str">
        <f t="shared" si="17"/>
        <v>FFDFD3C0</v>
      </c>
      <c r="D343" t="s">
        <v>120</v>
      </c>
      <c r="E343">
        <v>12</v>
      </c>
      <c r="F343">
        <v>1012</v>
      </c>
      <c r="G343" t="s">
        <v>114</v>
      </c>
      <c r="J343" t="s">
        <v>121</v>
      </c>
      <c r="K343">
        <v>0</v>
      </c>
      <c r="L343">
        <v>3</v>
      </c>
      <c r="M343">
        <v>0</v>
      </c>
      <c r="N343">
        <v>2</v>
      </c>
      <c r="O343">
        <v>1</v>
      </c>
      <c r="P343">
        <v>0</v>
      </c>
      <c r="Q343">
        <v>0</v>
      </c>
      <c r="S343" t="str">
        <f>"13:53:20.914"</f>
        <v>13:53:20.914</v>
      </c>
      <c r="T343" t="str">
        <f>"13:53:20.414"</f>
        <v>13:53:20.414</v>
      </c>
      <c r="U343" t="str">
        <f t="shared" si="19"/>
        <v>A92BC1</v>
      </c>
      <c r="V343">
        <v>0</v>
      </c>
      <c r="W343">
        <v>0</v>
      </c>
      <c r="X343">
        <v>2</v>
      </c>
      <c r="Z343">
        <v>0</v>
      </c>
      <c r="AA343">
        <v>9</v>
      </c>
      <c r="AB343">
        <v>3</v>
      </c>
      <c r="AC343">
        <v>0</v>
      </c>
      <c r="AD343">
        <v>10</v>
      </c>
      <c r="AE343">
        <v>0</v>
      </c>
      <c r="AF343">
        <v>3</v>
      </c>
      <c r="AG343">
        <v>2</v>
      </c>
      <c r="AH343">
        <v>0</v>
      </c>
      <c r="AI343" t="s">
        <v>444</v>
      </c>
      <c r="AJ343">
        <v>45.707867</v>
      </c>
      <c r="AK343" t="s">
        <v>445</v>
      </c>
      <c r="AL343">
        <v>-89.418689999999998</v>
      </c>
      <c r="AM343">
        <v>100</v>
      </c>
      <c r="AN343">
        <v>7500</v>
      </c>
      <c r="AO343" t="s">
        <v>118</v>
      </c>
      <c r="AP343">
        <v>130</v>
      </c>
      <c r="AQ343">
        <v>104</v>
      </c>
      <c r="AR343">
        <v>1856</v>
      </c>
      <c r="AZ343">
        <v>1200</v>
      </c>
      <c r="BA343">
        <v>1</v>
      </c>
      <c r="BB343" t="str">
        <f t="shared" si="18"/>
        <v xml:space="preserve">N690LS  </v>
      </c>
      <c r="BC343">
        <v>1</v>
      </c>
      <c r="BE343">
        <v>0</v>
      </c>
      <c r="BF343">
        <v>0</v>
      </c>
      <c r="BG343">
        <v>0</v>
      </c>
      <c r="BH343">
        <v>7675</v>
      </c>
      <c r="BI343">
        <v>1</v>
      </c>
      <c r="BJ343">
        <v>1</v>
      </c>
      <c r="BK343">
        <v>1</v>
      </c>
      <c r="BL343">
        <v>0</v>
      </c>
      <c r="BO343">
        <v>0</v>
      </c>
      <c r="BP343">
        <v>0</v>
      </c>
      <c r="BW343" t="str">
        <f>"13:53:20.920"</f>
        <v>13:53:20.920</v>
      </c>
      <c r="CJ343">
        <v>0</v>
      </c>
      <c r="CK343">
        <v>2</v>
      </c>
      <c r="CL343">
        <v>0</v>
      </c>
      <c r="CM343">
        <v>2</v>
      </c>
      <c r="CN343">
        <v>0</v>
      </c>
      <c r="CO343">
        <v>7</v>
      </c>
      <c r="CP343" t="s">
        <v>119</v>
      </c>
      <c r="CQ343">
        <v>197</v>
      </c>
      <c r="CR343">
        <v>2</v>
      </c>
      <c r="CW343">
        <v>2242745</v>
      </c>
      <c r="CY343">
        <v>1</v>
      </c>
      <c r="CZ343">
        <v>0</v>
      </c>
      <c r="DA343">
        <v>0</v>
      </c>
      <c r="DB343">
        <v>0</v>
      </c>
      <c r="DC343">
        <v>0</v>
      </c>
      <c r="DD343">
        <v>0</v>
      </c>
      <c r="DE343">
        <v>0</v>
      </c>
      <c r="DF343">
        <v>0</v>
      </c>
      <c r="DG343">
        <v>0</v>
      </c>
      <c r="DH343">
        <v>0</v>
      </c>
      <c r="DI343">
        <v>0</v>
      </c>
    </row>
    <row r="344" spans="1:113" x14ac:dyDescent="0.3">
      <c r="A344" t="str">
        <f>"09/28/2021 13:53:21.117"</f>
        <v>09/28/2021 13:53:21.117</v>
      </c>
      <c r="C344" t="str">
        <f t="shared" si="17"/>
        <v>FFDFD3C0</v>
      </c>
      <c r="D344" t="s">
        <v>113</v>
      </c>
      <c r="E344">
        <v>7</v>
      </c>
      <c r="H344">
        <v>170</v>
      </c>
      <c r="I344" t="s">
        <v>114</v>
      </c>
      <c r="J344" t="s">
        <v>115</v>
      </c>
      <c r="K344">
        <v>0</v>
      </c>
      <c r="L344">
        <v>3</v>
      </c>
      <c r="M344">
        <v>0</v>
      </c>
      <c r="N344">
        <v>2</v>
      </c>
      <c r="O344">
        <v>1</v>
      </c>
      <c r="P344">
        <v>0</v>
      </c>
      <c r="Q344">
        <v>0</v>
      </c>
      <c r="S344" t="str">
        <f>"13:53:20.914"</f>
        <v>13:53:20.914</v>
      </c>
      <c r="T344" t="str">
        <f>"13:53:20.414"</f>
        <v>13:53:20.414</v>
      </c>
      <c r="U344" t="str">
        <f t="shared" si="19"/>
        <v>A92BC1</v>
      </c>
      <c r="V344">
        <v>0</v>
      </c>
      <c r="W344">
        <v>0</v>
      </c>
      <c r="X344">
        <v>2</v>
      </c>
      <c r="Z344">
        <v>0</v>
      </c>
      <c r="AA344">
        <v>9</v>
      </c>
      <c r="AB344">
        <v>3</v>
      </c>
      <c r="AC344">
        <v>0</v>
      </c>
      <c r="AD344">
        <v>10</v>
      </c>
      <c r="AE344">
        <v>0</v>
      </c>
      <c r="AF344">
        <v>3</v>
      </c>
      <c r="AG344">
        <v>2</v>
      </c>
      <c r="AH344">
        <v>0</v>
      </c>
      <c r="AI344" t="s">
        <v>444</v>
      </c>
      <c r="AJ344">
        <v>45.707867</v>
      </c>
      <c r="AK344" t="s">
        <v>445</v>
      </c>
      <c r="AL344">
        <v>-89.418689999999998</v>
      </c>
      <c r="AM344">
        <v>100</v>
      </c>
      <c r="AN344">
        <v>7500</v>
      </c>
      <c r="AO344" t="s">
        <v>118</v>
      </c>
      <c r="AP344">
        <v>130</v>
      </c>
      <c r="AQ344">
        <v>104</v>
      </c>
      <c r="AR344">
        <v>1856</v>
      </c>
      <c r="AZ344">
        <v>1200</v>
      </c>
      <c r="BA344">
        <v>1</v>
      </c>
      <c r="BB344" t="str">
        <f t="shared" si="18"/>
        <v xml:space="preserve">N690LS  </v>
      </c>
      <c r="BC344">
        <v>1</v>
      </c>
      <c r="BE344">
        <v>0</v>
      </c>
      <c r="BF344">
        <v>0</v>
      </c>
      <c r="BG344">
        <v>0</v>
      </c>
      <c r="BH344">
        <v>7675</v>
      </c>
      <c r="BI344">
        <v>1</v>
      </c>
      <c r="BJ344">
        <v>1</v>
      </c>
      <c r="BK344">
        <v>1</v>
      </c>
      <c r="BL344">
        <v>0</v>
      </c>
      <c r="BO344">
        <v>0</v>
      </c>
      <c r="BP344">
        <v>0</v>
      </c>
      <c r="BW344" t="str">
        <f>"13:53:20.920"</f>
        <v>13:53:20.920</v>
      </c>
      <c r="CJ344">
        <v>0</v>
      </c>
      <c r="CK344">
        <v>2</v>
      </c>
      <c r="CL344">
        <v>0</v>
      </c>
      <c r="CM344">
        <v>2</v>
      </c>
      <c r="CN344">
        <v>0</v>
      </c>
      <c r="CO344">
        <v>7</v>
      </c>
      <c r="CP344" t="s">
        <v>119</v>
      </c>
      <c r="CQ344">
        <v>197</v>
      </c>
      <c r="CR344">
        <v>2</v>
      </c>
      <c r="CW344">
        <v>2242745</v>
      </c>
      <c r="CY344">
        <v>1</v>
      </c>
      <c r="CZ344">
        <v>0</v>
      </c>
      <c r="DA344">
        <v>1</v>
      </c>
      <c r="DB344">
        <v>0</v>
      </c>
      <c r="DC344">
        <v>0</v>
      </c>
      <c r="DD344">
        <v>0</v>
      </c>
      <c r="DE344">
        <v>0</v>
      </c>
      <c r="DF344">
        <v>0</v>
      </c>
      <c r="DG344">
        <v>0</v>
      </c>
      <c r="DH344">
        <v>0</v>
      </c>
      <c r="DI344">
        <v>0</v>
      </c>
    </row>
    <row r="345" spans="1:113" x14ac:dyDescent="0.3">
      <c r="A345" t="str">
        <f>"09/28/2021 13:53:22.153"</f>
        <v>09/28/2021 13:53:22.153</v>
      </c>
      <c r="C345" t="str">
        <f t="shared" si="17"/>
        <v>FFDFD3C0</v>
      </c>
      <c r="D345" t="s">
        <v>120</v>
      </c>
      <c r="E345">
        <v>12</v>
      </c>
      <c r="F345">
        <v>1012</v>
      </c>
      <c r="G345" t="s">
        <v>114</v>
      </c>
      <c r="J345" t="s">
        <v>121</v>
      </c>
      <c r="K345">
        <v>0</v>
      </c>
      <c r="L345">
        <v>3</v>
      </c>
      <c r="M345">
        <v>0</v>
      </c>
      <c r="N345">
        <v>2</v>
      </c>
      <c r="O345">
        <v>1</v>
      </c>
      <c r="P345">
        <v>0</v>
      </c>
      <c r="Q345">
        <v>0</v>
      </c>
      <c r="S345" t="str">
        <f>"13:53:21.961"</f>
        <v>13:53:21.961</v>
      </c>
      <c r="T345" t="str">
        <f>"13:53:21.561"</f>
        <v>13:53:21.561</v>
      </c>
      <c r="U345" t="str">
        <f t="shared" si="19"/>
        <v>A92BC1</v>
      </c>
      <c r="V345">
        <v>0</v>
      </c>
      <c r="W345">
        <v>0</v>
      </c>
      <c r="X345">
        <v>2</v>
      </c>
      <c r="Z345">
        <v>0</v>
      </c>
      <c r="AA345">
        <v>9</v>
      </c>
      <c r="AB345">
        <v>3</v>
      </c>
      <c r="AC345">
        <v>0</v>
      </c>
      <c r="AD345">
        <v>10</v>
      </c>
      <c r="AE345">
        <v>0</v>
      </c>
      <c r="AF345">
        <v>3</v>
      </c>
      <c r="AG345">
        <v>2</v>
      </c>
      <c r="AH345">
        <v>0</v>
      </c>
      <c r="AI345" t="s">
        <v>446</v>
      </c>
      <c r="AJ345">
        <v>45.708424999999998</v>
      </c>
      <c r="AK345" t="s">
        <v>447</v>
      </c>
      <c r="AL345">
        <v>-89.417788999999999</v>
      </c>
      <c r="AM345">
        <v>100</v>
      </c>
      <c r="AN345">
        <v>7600</v>
      </c>
      <c r="AO345" t="s">
        <v>118</v>
      </c>
      <c r="AP345">
        <v>130</v>
      </c>
      <c r="AQ345">
        <v>104</v>
      </c>
      <c r="AR345">
        <v>1856</v>
      </c>
      <c r="AZ345">
        <v>1200</v>
      </c>
      <c r="BA345">
        <v>1</v>
      </c>
      <c r="BB345" t="str">
        <f t="shared" si="18"/>
        <v xml:space="preserve">N690LS  </v>
      </c>
      <c r="BC345">
        <v>1</v>
      </c>
      <c r="BE345">
        <v>0</v>
      </c>
      <c r="BF345">
        <v>0</v>
      </c>
      <c r="BG345">
        <v>0</v>
      </c>
      <c r="BH345">
        <v>7725</v>
      </c>
      <c r="BI345">
        <v>1</v>
      </c>
      <c r="BJ345">
        <v>1</v>
      </c>
      <c r="BK345">
        <v>1</v>
      </c>
      <c r="BL345">
        <v>0</v>
      </c>
      <c r="BO345">
        <v>0</v>
      </c>
      <c r="BP345">
        <v>0</v>
      </c>
      <c r="BW345" t="str">
        <f>"13:53:21.967"</f>
        <v>13:53:21.967</v>
      </c>
      <c r="CJ345">
        <v>0</v>
      </c>
      <c r="CK345">
        <v>2</v>
      </c>
      <c r="CL345">
        <v>0</v>
      </c>
      <c r="CM345">
        <v>2</v>
      </c>
      <c r="CN345">
        <v>0</v>
      </c>
      <c r="CO345">
        <v>7</v>
      </c>
      <c r="CP345" t="s">
        <v>119</v>
      </c>
      <c r="CQ345">
        <v>197</v>
      </c>
      <c r="CR345">
        <v>1</v>
      </c>
      <c r="CW345">
        <v>7146299</v>
      </c>
      <c r="CY345">
        <v>1</v>
      </c>
      <c r="CZ345">
        <v>0</v>
      </c>
      <c r="DA345">
        <v>0</v>
      </c>
      <c r="DB345">
        <v>0</v>
      </c>
      <c r="DC345">
        <v>0</v>
      </c>
      <c r="DD345">
        <v>0</v>
      </c>
      <c r="DE345">
        <v>0</v>
      </c>
      <c r="DF345">
        <v>0</v>
      </c>
      <c r="DG345">
        <v>0</v>
      </c>
      <c r="DH345">
        <v>0</v>
      </c>
      <c r="DI345">
        <v>0</v>
      </c>
    </row>
    <row r="346" spans="1:113" x14ac:dyDescent="0.3">
      <c r="A346" t="str">
        <f>"09/28/2021 13:53:22.184"</f>
        <v>09/28/2021 13:53:22.184</v>
      </c>
      <c r="C346" t="str">
        <f t="shared" si="17"/>
        <v>FFDFD3C0</v>
      </c>
      <c r="D346" t="s">
        <v>113</v>
      </c>
      <c r="E346">
        <v>7</v>
      </c>
      <c r="H346">
        <v>170</v>
      </c>
      <c r="I346" t="s">
        <v>114</v>
      </c>
      <c r="J346" t="s">
        <v>115</v>
      </c>
      <c r="K346">
        <v>0</v>
      </c>
      <c r="L346">
        <v>3</v>
      </c>
      <c r="M346">
        <v>0</v>
      </c>
      <c r="N346">
        <v>2</v>
      </c>
      <c r="O346">
        <v>1</v>
      </c>
      <c r="P346">
        <v>0</v>
      </c>
      <c r="Q346">
        <v>0</v>
      </c>
      <c r="S346" t="str">
        <f>"13:53:21.961"</f>
        <v>13:53:21.961</v>
      </c>
      <c r="T346" t="str">
        <f>"13:53:21.561"</f>
        <v>13:53:21.561</v>
      </c>
      <c r="U346" t="str">
        <f t="shared" si="19"/>
        <v>A92BC1</v>
      </c>
      <c r="V346">
        <v>0</v>
      </c>
      <c r="W346">
        <v>0</v>
      </c>
      <c r="X346">
        <v>2</v>
      </c>
      <c r="Z346">
        <v>0</v>
      </c>
      <c r="AA346">
        <v>9</v>
      </c>
      <c r="AB346">
        <v>3</v>
      </c>
      <c r="AC346">
        <v>0</v>
      </c>
      <c r="AD346">
        <v>10</v>
      </c>
      <c r="AE346">
        <v>0</v>
      </c>
      <c r="AF346">
        <v>3</v>
      </c>
      <c r="AG346">
        <v>2</v>
      </c>
      <c r="AH346">
        <v>0</v>
      </c>
      <c r="AI346" t="s">
        <v>446</v>
      </c>
      <c r="AJ346">
        <v>45.708424999999998</v>
      </c>
      <c r="AK346" t="s">
        <v>447</v>
      </c>
      <c r="AL346">
        <v>-89.417788999999999</v>
      </c>
      <c r="AM346">
        <v>100</v>
      </c>
      <c r="AN346">
        <v>7600</v>
      </c>
      <c r="AO346" t="s">
        <v>118</v>
      </c>
      <c r="AP346">
        <v>130</v>
      </c>
      <c r="AQ346">
        <v>104</v>
      </c>
      <c r="AR346">
        <v>1856</v>
      </c>
      <c r="AZ346">
        <v>1200</v>
      </c>
      <c r="BA346">
        <v>1</v>
      </c>
      <c r="BB346" t="str">
        <f t="shared" si="18"/>
        <v xml:space="preserve">N690LS  </v>
      </c>
      <c r="BC346">
        <v>1</v>
      </c>
      <c r="BE346">
        <v>0</v>
      </c>
      <c r="BF346">
        <v>0</v>
      </c>
      <c r="BG346">
        <v>0</v>
      </c>
      <c r="BH346">
        <v>7725</v>
      </c>
      <c r="BI346">
        <v>1</v>
      </c>
      <c r="BJ346">
        <v>1</v>
      </c>
      <c r="BK346">
        <v>1</v>
      </c>
      <c r="BL346">
        <v>0</v>
      </c>
      <c r="BO346">
        <v>0</v>
      </c>
      <c r="BP346">
        <v>0</v>
      </c>
      <c r="BW346" t="str">
        <f>"13:53:21.967"</f>
        <v>13:53:21.967</v>
      </c>
      <c r="CJ346">
        <v>0</v>
      </c>
      <c r="CK346">
        <v>2</v>
      </c>
      <c r="CL346">
        <v>0</v>
      </c>
      <c r="CM346">
        <v>2</v>
      </c>
      <c r="CN346">
        <v>0</v>
      </c>
      <c r="CO346">
        <v>7</v>
      </c>
      <c r="CP346" t="s">
        <v>119</v>
      </c>
      <c r="CQ346">
        <v>197</v>
      </c>
      <c r="CR346">
        <v>1</v>
      </c>
      <c r="CW346">
        <v>7146299</v>
      </c>
      <c r="CY346">
        <v>1</v>
      </c>
      <c r="CZ346">
        <v>0</v>
      </c>
      <c r="DA346">
        <v>1</v>
      </c>
      <c r="DB346">
        <v>0</v>
      </c>
      <c r="DC346">
        <v>0</v>
      </c>
      <c r="DD346">
        <v>0</v>
      </c>
      <c r="DE346">
        <v>0</v>
      </c>
      <c r="DF346">
        <v>0</v>
      </c>
      <c r="DG346">
        <v>0</v>
      </c>
      <c r="DH346">
        <v>0</v>
      </c>
      <c r="DI346">
        <v>0</v>
      </c>
    </row>
    <row r="347" spans="1:113" x14ac:dyDescent="0.3">
      <c r="A347" t="str">
        <f>"09/28/2021 13:53:23.294"</f>
        <v>09/28/2021 13:53:23.294</v>
      </c>
      <c r="C347" t="str">
        <f t="shared" si="17"/>
        <v>FFDFD3C0</v>
      </c>
      <c r="D347" t="s">
        <v>113</v>
      </c>
      <c r="E347">
        <v>7</v>
      </c>
      <c r="H347">
        <v>170</v>
      </c>
      <c r="I347" t="s">
        <v>114</v>
      </c>
      <c r="J347" t="s">
        <v>115</v>
      </c>
      <c r="K347">
        <v>0</v>
      </c>
      <c r="L347">
        <v>3</v>
      </c>
      <c r="M347">
        <v>0</v>
      </c>
      <c r="N347">
        <v>2</v>
      </c>
      <c r="O347">
        <v>1</v>
      </c>
      <c r="P347">
        <v>0</v>
      </c>
      <c r="Q347">
        <v>0</v>
      </c>
      <c r="S347" t="str">
        <f>"13:53:22.992"</f>
        <v>13:53:22.992</v>
      </c>
      <c r="T347" t="str">
        <f>"13:53:22.592"</f>
        <v>13:53:22.592</v>
      </c>
      <c r="U347" t="str">
        <f t="shared" si="19"/>
        <v>A92BC1</v>
      </c>
      <c r="V347">
        <v>0</v>
      </c>
      <c r="W347">
        <v>0</v>
      </c>
      <c r="X347">
        <v>2</v>
      </c>
      <c r="Z347">
        <v>0</v>
      </c>
      <c r="AA347">
        <v>9</v>
      </c>
      <c r="AB347">
        <v>3</v>
      </c>
      <c r="AC347">
        <v>0</v>
      </c>
      <c r="AD347">
        <v>10</v>
      </c>
      <c r="AE347">
        <v>0</v>
      </c>
      <c r="AF347">
        <v>3</v>
      </c>
      <c r="AG347">
        <v>2</v>
      </c>
      <c r="AH347">
        <v>0</v>
      </c>
      <c r="AI347" t="s">
        <v>448</v>
      </c>
      <c r="AJ347">
        <v>45.708897</v>
      </c>
      <c r="AK347" t="s">
        <v>449</v>
      </c>
      <c r="AL347">
        <v>-89.416931000000005</v>
      </c>
      <c r="AM347">
        <v>100</v>
      </c>
      <c r="AN347">
        <v>7600</v>
      </c>
      <c r="AO347" t="s">
        <v>118</v>
      </c>
      <c r="AP347">
        <v>130</v>
      </c>
      <c r="AQ347">
        <v>104</v>
      </c>
      <c r="AR347">
        <v>1856</v>
      </c>
      <c r="AZ347">
        <v>1200</v>
      </c>
      <c r="BA347">
        <v>1</v>
      </c>
      <c r="BB347" t="str">
        <f t="shared" si="18"/>
        <v xml:space="preserve">N690LS  </v>
      </c>
      <c r="BC347">
        <v>1</v>
      </c>
      <c r="BE347">
        <v>0</v>
      </c>
      <c r="BF347">
        <v>0</v>
      </c>
      <c r="BG347">
        <v>0</v>
      </c>
      <c r="BH347">
        <v>7750</v>
      </c>
      <c r="BI347">
        <v>1</v>
      </c>
      <c r="BJ347">
        <v>1</v>
      </c>
      <c r="BK347">
        <v>1</v>
      </c>
      <c r="BL347">
        <v>0</v>
      </c>
      <c r="BO347">
        <v>0</v>
      </c>
      <c r="BP347">
        <v>0</v>
      </c>
      <c r="BW347" t="str">
        <f>"13:53:22.996"</f>
        <v>13:53:22.996</v>
      </c>
      <c r="CJ347">
        <v>0</v>
      </c>
      <c r="CK347">
        <v>2</v>
      </c>
      <c r="CL347">
        <v>0</v>
      </c>
      <c r="CM347">
        <v>2</v>
      </c>
      <c r="CN347">
        <v>0</v>
      </c>
      <c r="CO347">
        <v>7</v>
      </c>
      <c r="CP347" t="s">
        <v>119</v>
      </c>
      <c r="CQ347">
        <v>197</v>
      </c>
      <c r="CR347">
        <v>2</v>
      </c>
      <c r="CW347">
        <v>2244508</v>
      </c>
      <c r="CY347">
        <v>1</v>
      </c>
      <c r="CZ347">
        <v>0</v>
      </c>
      <c r="DA347">
        <v>0</v>
      </c>
      <c r="DB347">
        <v>0</v>
      </c>
      <c r="DC347">
        <v>0</v>
      </c>
      <c r="DD347">
        <v>0</v>
      </c>
      <c r="DE347">
        <v>0</v>
      </c>
      <c r="DF347">
        <v>0</v>
      </c>
      <c r="DG347">
        <v>0</v>
      </c>
      <c r="DH347">
        <v>0</v>
      </c>
      <c r="DI347">
        <v>0</v>
      </c>
    </row>
    <row r="348" spans="1:113" x14ac:dyDescent="0.3">
      <c r="A348" t="str">
        <f>"09/28/2021 13:53:23.309"</f>
        <v>09/28/2021 13:53:23.309</v>
      </c>
      <c r="C348" t="str">
        <f t="shared" si="17"/>
        <v>FFDFD3C0</v>
      </c>
      <c r="D348" t="s">
        <v>120</v>
      </c>
      <c r="E348">
        <v>12</v>
      </c>
      <c r="F348">
        <v>1012</v>
      </c>
      <c r="G348" t="s">
        <v>114</v>
      </c>
      <c r="J348" t="s">
        <v>121</v>
      </c>
      <c r="K348">
        <v>0</v>
      </c>
      <c r="L348">
        <v>3</v>
      </c>
      <c r="M348">
        <v>0</v>
      </c>
      <c r="N348">
        <v>2</v>
      </c>
      <c r="O348">
        <v>1</v>
      </c>
      <c r="P348">
        <v>0</v>
      </c>
      <c r="Q348">
        <v>0</v>
      </c>
      <c r="S348" t="str">
        <f>"13:53:22.992"</f>
        <v>13:53:22.992</v>
      </c>
      <c r="T348" t="str">
        <f>"13:53:22.592"</f>
        <v>13:53:22.592</v>
      </c>
      <c r="U348" t="str">
        <f t="shared" si="19"/>
        <v>A92BC1</v>
      </c>
      <c r="V348">
        <v>0</v>
      </c>
      <c r="W348">
        <v>0</v>
      </c>
      <c r="X348">
        <v>2</v>
      </c>
      <c r="Z348">
        <v>0</v>
      </c>
      <c r="AA348">
        <v>9</v>
      </c>
      <c r="AB348">
        <v>3</v>
      </c>
      <c r="AC348">
        <v>0</v>
      </c>
      <c r="AD348">
        <v>10</v>
      </c>
      <c r="AE348">
        <v>0</v>
      </c>
      <c r="AF348">
        <v>3</v>
      </c>
      <c r="AG348">
        <v>2</v>
      </c>
      <c r="AH348">
        <v>0</v>
      </c>
      <c r="AI348" t="s">
        <v>448</v>
      </c>
      <c r="AJ348">
        <v>45.708897</v>
      </c>
      <c r="AK348" t="s">
        <v>449</v>
      </c>
      <c r="AL348">
        <v>-89.416931000000005</v>
      </c>
      <c r="AM348">
        <v>100</v>
      </c>
      <c r="AN348">
        <v>7600</v>
      </c>
      <c r="AO348" t="s">
        <v>118</v>
      </c>
      <c r="AP348">
        <v>130</v>
      </c>
      <c r="AQ348">
        <v>104</v>
      </c>
      <c r="AR348">
        <v>1856</v>
      </c>
      <c r="AZ348">
        <v>1200</v>
      </c>
      <c r="BA348">
        <v>1</v>
      </c>
      <c r="BB348" t="str">
        <f t="shared" si="18"/>
        <v xml:space="preserve">N690LS  </v>
      </c>
      <c r="BC348">
        <v>1</v>
      </c>
      <c r="BE348">
        <v>0</v>
      </c>
      <c r="BF348">
        <v>0</v>
      </c>
      <c r="BG348">
        <v>0</v>
      </c>
      <c r="BH348">
        <v>7750</v>
      </c>
      <c r="BI348">
        <v>1</v>
      </c>
      <c r="BJ348">
        <v>1</v>
      </c>
      <c r="BK348">
        <v>1</v>
      </c>
      <c r="BL348">
        <v>0</v>
      </c>
      <c r="BO348">
        <v>0</v>
      </c>
      <c r="BP348">
        <v>0</v>
      </c>
      <c r="BW348" t="str">
        <f>"13:53:22.996"</f>
        <v>13:53:22.996</v>
      </c>
      <c r="CJ348">
        <v>0</v>
      </c>
      <c r="CK348">
        <v>2</v>
      </c>
      <c r="CL348">
        <v>0</v>
      </c>
      <c r="CM348">
        <v>2</v>
      </c>
      <c r="CN348">
        <v>0</v>
      </c>
      <c r="CO348">
        <v>7</v>
      </c>
      <c r="CP348" t="s">
        <v>119</v>
      </c>
      <c r="CQ348">
        <v>197</v>
      </c>
      <c r="CR348">
        <v>2</v>
      </c>
      <c r="CW348">
        <v>2244508</v>
      </c>
      <c r="CY348">
        <v>1</v>
      </c>
      <c r="CZ348">
        <v>0</v>
      </c>
      <c r="DA348">
        <v>1</v>
      </c>
      <c r="DB348">
        <v>0</v>
      </c>
      <c r="DC348">
        <v>0</v>
      </c>
      <c r="DD348">
        <v>0</v>
      </c>
      <c r="DE348">
        <v>0</v>
      </c>
      <c r="DF348">
        <v>0</v>
      </c>
      <c r="DG348">
        <v>0</v>
      </c>
      <c r="DH348">
        <v>0</v>
      </c>
      <c r="DI348">
        <v>0</v>
      </c>
    </row>
    <row r="349" spans="1:113" x14ac:dyDescent="0.3">
      <c r="A349" t="str">
        <f>"09/28/2021 13:53:24.232"</f>
        <v>09/28/2021 13:53:24.232</v>
      </c>
      <c r="C349" t="str">
        <f t="shared" si="17"/>
        <v>FFDFD3C0</v>
      </c>
      <c r="D349" t="s">
        <v>113</v>
      </c>
      <c r="E349">
        <v>7</v>
      </c>
      <c r="H349">
        <v>170</v>
      </c>
      <c r="I349" t="s">
        <v>114</v>
      </c>
      <c r="J349" t="s">
        <v>115</v>
      </c>
      <c r="K349">
        <v>0</v>
      </c>
      <c r="L349">
        <v>3</v>
      </c>
      <c r="M349">
        <v>0</v>
      </c>
      <c r="N349">
        <v>2</v>
      </c>
      <c r="O349">
        <v>1</v>
      </c>
      <c r="P349">
        <v>0</v>
      </c>
      <c r="Q349">
        <v>0</v>
      </c>
      <c r="S349" t="str">
        <f>"13:53:23.898"</f>
        <v>13:53:23.898</v>
      </c>
      <c r="T349" t="str">
        <f>"13:53:23.498"</f>
        <v>13:53:23.498</v>
      </c>
      <c r="U349" t="str">
        <f t="shared" si="19"/>
        <v>A92BC1</v>
      </c>
      <c r="V349">
        <v>0</v>
      </c>
      <c r="W349">
        <v>0</v>
      </c>
      <c r="X349">
        <v>2</v>
      </c>
      <c r="Z349">
        <v>0</v>
      </c>
      <c r="AA349">
        <v>9</v>
      </c>
      <c r="AB349">
        <v>3</v>
      </c>
      <c r="AC349">
        <v>0</v>
      </c>
      <c r="AD349">
        <v>10</v>
      </c>
      <c r="AE349">
        <v>0</v>
      </c>
      <c r="AF349">
        <v>3</v>
      </c>
      <c r="AG349">
        <v>2</v>
      </c>
      <c r="AH349">
        <v>0</v>
      </c>
      <c r="AI349" t="s">
        <v>450</v>
      </c>
      <c r="AJ349">
        <v>45.709325999999997</v>
      </c>
      <c r="AK349" t="s">
        <v>451</v>
      </c>
      <c r="AL349">
        <v>-89.416137000000006</v>
      </c>
      <c r="AM349">
        <v>100</v>
      </c>
      <c r="AN349">
        <v>7600</v>
      </c>
      <c r="AO349" t="s">
        <v>118</v>
      </c>
      <c r="AP349">
        <v>130</v>
      </c>
      <c r="AQ349">
        <v>104</v>
      </c>
      <c r="AR349">
        <v>1856</v>
      </c>
      <c r="AZ349">
        <v>1200</v>
      </c>
      <c r="BA349">
        <v>1</v>
      </c>
      <c r="BB349" t="str">
        <f t="shared" si="18"/>
        <v xml:space="preserve">N690LS  </v>
      </c>
      <c r="BC349">
        <v>1</v>
      </c>
      <c r="BE349">
        <v>0</v>
      </c>
      <c r="BF349">
        <v>0</v>
      </c>
      <c r="BG349">
        <v>0</v>
      </c>
      <c r="BH349">
        <v>7775</v>
      </c>
      <c r="BI349">
        <v>1</v>
      </c>
      <c r="BJ349">
        <v>1</v>
      </c>
      <c r="BK349">
        <v>1</v>
      </c>
      <c r="BL349">
        <v>0</v>
      </c>
      <c r="BO349">
        <v>0</v>
      </c>
      <c r="BP349">
        <v>0</v>
      </c>
      <c r="BW349" t="str">
        <f>"13:53:23.906"</f>
        <v>13:53:23.906</v>
      </c>
      <c r="CJ349">
        <v>0</v>
      </c>
      <c r="CK349">
        <v>2</v>
      </c>
      <c r="CL349">
        <v>0</v>
      </c>
      <c r="CM349">
        <v>2</v>
      </c>
      <c r="CN349">
        <v>0</v>
      </c>
      <c r="CO349">
        <v>7</v>
      </c>
      <c r="CP349" t="s">
        <v>119</v>
      </c>
      <c r="CQ349">
        <v>197</v>
      </c>
      <c r="CR349">
        <v>1</v>
      </c>
      <c r="CW349">
        <v>7148502</v>
      </c>
      <c r="CY349">
        <v>1</v>
      </c>
      <c r="CZ349">
        <v>0</v>
      </c>
      <c r="DA349">
        <v>0</v>
      </c>
      <c r="DB349">
        <v>0</v>
      </c>
      <c r="DC349">
        <v>0</v>
      </c>
      <c r="DD349">
        <v>0</v>
      </c>
      <c r="DE349">
        <v>0</v>
      </c>
      <c r="DF349">
        <v>0</v>
      </c>
      <c r="DG349">
        <v>0</v>
      </c>
      <c r="DH349">
        <v>0</v>
      </c>
      <c r="DI349">
        <v>0</v>
      </c>
    </row>
    <row r="350" spans="1:113" x14ac:dyDescent="0.3">
      <c r="A350" t="str">
        <f>"09/28/2021 13:53:24.232"</f>
        <v>09/28/2021 13:53:24.232</v>
      </c>
      <c r="C350" t="str">
        <f t="shared" si="17"/>
        <v>FFDFD3C0</v>
      </c>
      <c r="D350" t="s">
        <v>120</v>
      </c>
      <c r="E350">
        <v>12</v>
      </c>
      <c r="F350">
        <v>1012</v>
      </c>
      <c r="G350" t="s">
        <v>114</v>
      </c>
      <c r="J350" t="s">
        <v>121</v>
      </c>
      <c r="K350">
        <v>0</v>
      </c>
      <c r="L350">
        <v>3</v>
      </c>
      <c r="M350">
        <v>0</v>
      </c>
      <c r="N350">
        <v>2</v>
      </c>
      <c r="O350">
        <v>1</v>
      </c>
      <c r="P350">
        <v>0</v>
      </c>
      <c r="Q350">
        <v>0</v>
      </c>
      <c r="S350" t="str">
        <f>"13:53:23.898"</f>
        <v>13:53:23.898</v>
      </c>
      <c r="T350" t="str">
        <f>"13:53:23.498"</f>
        <v>13:53:23.498</v>
      </c>
      <c r="U350" t="str">
        <f t="shared" si="19"/>
        <v>A92BC1</v>
      </c>
      <c r="V350">
        <v>0</v>
      </c>
      <c r="W350">
        <v>0</v>
      </c>
      <c r="X350">
        <v>2</v>
      </c>
      <c r="Z350">
        <v>0</v>
      </c>
      <c r="AA350">
        <v>9</v>
      </c>
      <c r="AB350">
        <v>3</v>
      </c>
      <c r="AC350">
        <v>0</v>
      </c>
      <c r="AD350">
        <v>10</v>
      </c>
      <c r="AE350">
        <v>0</v>
      </c>
      <c r="AF350">
        <v>3</v>
      </c>
      <c r="AG350">
        <v>2</v>
      </c>
      <c r="AH350">
        <v>0</v>
      </c>
      <c r="AI350" t="s">
        <v>450</v>
      </c>
      <c r="AJ350">
        <v>45.709325999999997</v>
      </c>
      <c r="AK350" t="s">
        <v>451</v>
      </c>
      <c r="AL350">
        <v>-89.416137000000006</v>
      </c>
      <c r="AM350">
        <v>100</v>
      </c>
      <c r="AN350">
        <v>7600</v>
      </c>
      <c r="AO350" t="s">
        <v>118</v>
      </c>
      <c r="AP350">
        <v>130</v>
      </c>
      <c r="AQ350">
        <v>104</v>
      </c>
      <c r="AR350">
        <v>1856</v>
      </c>
      <c r="AZ350">
        <v>1200</v>
      </c>
      <c r="BA350">
        <v>1</v>
      </c>
      <c r="BB350" t="str">
        <f t="shared" si="18"/>
        <v xml:space="preserve">N690LS  </v>
      </c>
      <c r="BC350">
        <v>1</v>
      </c>
      <c r="BE350">
        <v>0</v>
      </c>
      <c r="BF350">
        <v>0</v>
      </c>
      <c r="BG350">
        <v>0</v>
      </c>
      <c r="BH350">
        <v>7775</v>
      </c>
      <c r="BI350">
        <v>1</v>
      </c>
      <c r="BJ350">
        <v>1</v>
      </c>
      <c r="BK350">
        <v>1</v>
      </c>
      <c r="BL350">
        <v>0</v>
      </c>
      <c r="BO350">
        <v>0</v>
      </c>
      <c r="BP350">
        <v>0</v>
      </c>
      <c r="BW350" t="str">
        <f>"13:53:23.906"</f>
        <v>13:53:23.906</v>
      </c>
      <c r="CJ350">
        <v>0</v>
      </c>
      <c r="CK350">
        <v>2</v>
      </c>
      <c r="CL350">
        <v>0</v>
      </c>
      <c r="CM350">
        <v>2</v>
      </c>
      <c r="CN350">
        <v>0</v>
      </c>
      <c r="CO350">
        <v>7</v>
      </c>
      <c r="CP350" t="s">
        <v>119</v>
      </c>
      <c r="CQ350">
        <v>197</v>
      </c>
      <c r="CR350">
        <v>1</v>
      </c>
      <c r="CW350">
        <v>7148502</v>
      </c>
      <c r="CY350">
        <v>1</v>
      </c>
      <c r="CZ350">
        <v>0</v>
      </c>
      <c r="DA350">
        <v>1</v>
      </c>
      <c r="DB350">
        <v>0</v>
      </c>
      <c r="DC350">
        <v>0</v>
      </c>
      <c r="DD350">
        <v>0</v>
      </c>
      <c r="DE350">
        <v>0</v>
      </c>
      <c r="DF350">
        <v>0</v>
      </c>
      <c r="DG350">
        <v>0</v>
      </c>
      <c r="DH350">
        <v>0</v>
      </c>
      <c r="DI350">
        <v>0</v>
      </c>
    </row>
    <row r="351" spans="1:113" x14ac:dyDescent="0.3">
      <c r="A351" t="str">
        <f>"09/28/2021 13:53:25.045"</f>
        <v>09/28/2021 13:53:25.045</v>
      </c>
      <c r="C351" t="str">
        <f t="shared" si="17"/>
        <v>FFDFD3C0</v>
      </c>
      <c r="D351" t="s">
        <v>120</v>
      </c>
      <c r="E351">
        <v>12</v>
      </c>
      <c r="F351">
        <v>1012</v>
      </c>
      <c r="G351" t="s">
        <v>114</v>
      </c>
      <c r="J351" t="s">
        <v>121</v>
      </c>
      <c r="K351">
        <v>0</v>
      </c>
      <c r="L351">
        <v>3</v>
      </c>
      <c r="M351">
        <v>0</v>
      </c>
      <c r="N351">
        <v>2</v>
      </c>
      <c r="O351">
        <v>1</v>
      </c>
      <c r="P351">
        <v>0</v>
      </c>
      <c r="Q351">
        <v>0</v>
      </c>
      <c r="S351" t="str">
        <f>"13:53:24.805"</f>
        <v>13:53:24.805</v>
      </c>
      <c r="T351" t="str">
        <f>"13:53:24.405"</f>
        <v>13:53:24.405</v>
      </c>
      <c r="U351" t="str">
        <f t="shared" si="19"/>
        <v>A92BC1</v>
      </c>
      <c r="V351">
        <v>0</v>
      </c>
      <c r="W351">
        <v>0</v>
      </c>
      <c r="X351">
        <v>2</v>
      </c>
      <c r="Z351">
        <v>0</v>
      </c>
      <c r="AA351">
        <v>9</v>
      </c>
      <c r="AB351">
        <v>3</v>
      </c>
      <c r="AC351">
        <v>0</v>
      </c>
      <c r="AD351">
        <v>10</v>
      </c>
      <c r="AE351">
        <v>0</v>
      </c>
      <c r="AF351">
        <v>3</v>
      </c>
      <c r="AG351">
        <v>2</v>
      </c>
      <c r="AH351">
        <v>0</v>
      </c>
      <c r="AI351" t="s">
        <v>452</v>
      </c>
      <c r="AJ351">
        <v>45.709755000000001</v>
      </c>
      <c r="AK351" t="s">
        <v>453</v>
      </c>
      <c r="AL351">
        <v>-89.415385999999998</v>
      </c>
      <c r="AM351">
        <v>100</v>
      </c>
      <c r="AN351">
        <v>7600</v>
      </c>
      <c r="AO351" t="s">
        <v>118</v>
      </c>
      <c r="AP351">
        <v>130</v>
      </c>
      <c r="AQ351">
        <v>105</v>
      </c>
      <c r="AR351">
        <v>1856</v>
      </c>
      <c r="AZ351">
        <v>1200</v>
      </c>
      <c r="BA351">
        <v>1</v>
      </c>
      <c r="BB351" t="str">
        <f t="shared" si="18"/>
        <v xml:space="preserve">N690LS  </v>
      </c>
      <c r="BC351">
        <v>1</v>
      </c>
      <c r="BE351">
        <v>0</v>
      </c>
      <c r="BF351">
        <v>0</v>
      </c>
      <c r="BG351">
        <v>0</v>
      </c>
      <c r="BH351">
        <v>7800</v>
      </c>
      <c r="BI351">
        <v>1</v>
      </c>
      <c r="BJ351">
        <v>1</v>
      </c>
      <c r="BK351">
        <v>1</v>
      </c>
      <c r="BL351">
        <v>0</v>
      </c>
      <c r="BO351">
        <v>0</v>
      </c>
      <c r="BP351">
        <v>0</v>
      </c>
      <c r="BW351" t="str">
        <f>"13:53:24.810"</f>
        <v>13:53:24.810</v>
      </c>
      <c r="CJ351">
        <v>0</v>
      </c>
      <c r="CK351">
        <v>2</v>
      </c>
      <c r="CL351">
        <v>0</v>
      </c>
      <c r="CM351">
        <v>2</v>
      </c>
      <c r="CN351">
        <v>0</v>
      </c>
      <c r="CO351">
        <v>7</v>
      </c>
      <c r="CP351" t="s">
        <v>119</v>
      </c>
      <c r="CQ351">
        <v>197</v>
      </c>
      <c r="CR351">
        <v>1</v>
      </c>
      <c r="CW351">
        <v>7149507</v>
      </c>
      <c r="CY351">
        <v>1</v>
      </c>
      <c r="CZ351">
        <v>0</v>
      </c>
      <c r="DA351">
        <v>0</v>
      </c>
      <c r="DB351">
        <v>0</v>
      </c>
      <c r="DC351">
        <v>0</v>
      </c>
      <c r="DD351">
        <v>0</v>
      </c>
      <c r="DE351">
        <v>0</v>
      </c>
      <c r="DF351">
        <v>0</v>
      </c>
      <c r="DG351">
        <v>0</v>
      </c>
      <c r="DH351">
        <v>0</v>
      </c>
      <c r="DI351">
        <v>0</v>
      </c>
    </row>
    <row r="352" spans="1:113" x14ac:dyDescent="0.3">
      <c r="A352" t="str">
        <f>"09/28/2021 13:53:25.061"</f>
        <v>09/28/2021 13:53:25.061</v>
      </c>
      <c r="C352" t="str">
        <f t="shared" si="17"/>
        <v>FFDFD3C0</v>
      </c>
      <c r="D352" t="s">
        <v>113</v>
      </c>
      <c r="E352">
        <v>7</v>
      </c>
      <c r="H352">
        <v>170</v>
      </c>
      <c r="I352" t="s">
        <v>114</v>
      </c>
      <c r="J352" t="s">
        <v>115</v>
      </c>
      <c r="K352">
        <v>0</v>
      </c>
      <c r="L352">
        <v>3</v>
      </c>
      <c r="M352">
        <v>0</v>
      </c>
      <c r="N352">
        <v>2</v>
      </c>
      <c r="O352">
        <v>1</v>
      </c>
      <c r="P352">
        <v>0</v>
      </c>
      <c r="Q352">
        <v>0</v>
      </c>
      <c r="S352" t="str">
        <f>"13:53:24.805"</f>
        <v>13:53:24.805</v>
      </c>
      <c r="T352" t="str">
        <f>"13:53:24.405"</f>
        <v>13:53:24.405</v>
      </c>
      <c r="U352" t="str">
        <f t="shared" si="19"/>
        <v>A92BC1</v>
      </c>
      <c r="V352">
        <v>0</v>
      </c>
      <c r="W352">
        <v>0</v>
      </c>
      <c r="X352">
        <v>2</v>
      </c>
      <c r="Z352">
        <v>0</v>
      </c>
      <c r="AA352">
        <v>9</v>
      </c>
      <c r="AB352">
        <v>3</v>
      </c>
      <c r="AC352">
        <v>0</v>
      </c>
      <c r="AD352">
        <v>10</v>
      </c>
      <c r="AE352">
        <v>0</v>
      </c>
      <c r="AF352">
        <v>3</v>
      </c>
      <c r="AG352">
        <v>2</v>
      </c>
      <c r="AH352">
        <v>0</v>
      </c>
      <c r="AI352" t="s">
        <v>452</v>
      </c>
      <c r="AJ352">
        <v>45.709755000000001</v>
      </c>
      <c r="AK352" t="s">
        <v>453</v>
      </c>
      <c r="AL352">
        <v>-89.415385999999998</v>
      </c>
      <c r="AM352">
        <v>100</v>
      </c>
      <c r="AN352">
        <v>7600</v>
      </c>
      <c r="AO352" t="s">
        <v>118</v>
      </c>
      <c r="AP352">
        <v>130</v>
      </c>
      <c r="AQ352">
        <v>105</v>
      </c>
      <c r="AR352">
        <v>1856</v>
      </c>
      <c r="AZ352">
        <v>1200</v>
      </c>
      <c r="BA352">
        <v>1</v>
      </c>
      <c r="BB352" t="str">
        <f t="shared" si="18"/>
        <v xml:space="preserve">N690LS  </v>
      </c>
      <c r="BC352">
        <v>1</v>
      </c>
      <c r="BE352">
        <v>0</v>
      </c>
      <c r="BF352">
        <v>0</v>
      </c>
      <c r="BG352">
        <v>0</v>
      </c>
      <c r="BH352">
        <v>7800</v>
      </c>
      <c r="BI352">
        <v>1</v>
      </c>
      <c r="BJ352">
        <v>1</v>
      </c>
      <c r="BK352">
        <v>1</v>
      </c>
      <c r="BL352">
        <v>0</v>
      </c>
      <c r="BO352">
        <v>0</v>
      </c>
      <c r="BP352">
        <v>0</v>
      </c>
      <c r="BW352" t="str">
        <f>"13:53:24.810"</f>
        <v>13:53:24.810</v>
      </c>
      <c r="CJ352">
        <v>0</v>
      </c>
      <c r="CK352">
        <v>2</v>
      </c>
      <c r="CL352">
        <v>0</v>
      </c>
      <c r="CM352">
        <v>2</v>
      </c>
      <c r="CN352">
        <v>0</v>
      </c>
      <c r="CO352">
        <v>7</v>
      </c>
      <c r="CP352" t="s">
        <v>119</v>
      </c>
      <c r="CQ352">
        <v>197</v>
      </c>
      <c r="CR352">
        <v>1</v>
      </c>
      <c r="CW352">
        <v>7149507</v>
      </c>
      <c r="CY352">
        <v>1</v>
      </c>
      <c r="CZ352">
        <v>0</v>
      </c>
      <c r="DA352">
        <v>1</v>
      </c>
      <c r="DB352">
        <v>0</v>
      </c>
      <c r="DC352">
        <v>0</v>
      </c>
      <c r="DD352">
        <v>0</v>
      </c>
      <c r="DE352">
        <v>0</v>
      </c>
      <c r="DF352">
        <v>0</v>
      </c>
      <c r="DG352">
        <v>0</v>
      </c>
      <c r="DH352">
        <v>0</v>
      </c>
      <c r="DI352">
        <v>0</v>
      </c>
    </row>
    <row r="353" spans="1:113" x14ac:dyDescent="0.3">
      <c r="A353" t="str">
        <f>"09/28/2021 13:53:25.920"</f>
        <v>09/28/2021 13:53:25.920</v>
      </c>
      <c r="C353" t="str">
        <f t="shared" si="17"/>
        <v>FFDFD3C0</v>
      </c>
      <c r="D353" t="s">
        <v>120</v>
      </c>
      <c r="E353">
        <v>12</v>
      </c>
      <c r="F353">
        <v>1012</v>
      </c>
      <c r="G353" t="s">
        <v>114</v>
      </c>
      <c r="J353" t="s">
        <v>121</v>
      </c>
      <c r="K353">
        <v>0</v>
      </c>
      <c r="L353">
        <v>3</v>
      </c>
      <c r="M353">
        <v>0</v>
      </c>
      <c r="N353">
        <v>2</v>
      </c>
      <c r="O353">
        <v>1</v>
      </c>
      <c r="P353">
        <v>0</v>
      </c>
      <c r="Q353">
        <v>0</v>
      </c>
      <c r="S353" t="str">
        <f>"13:53:25.688"</f>
        <v>13:53:25.688</v>
      </c>
      <c r="T353" t="str">
        <f>"13:53:25.288"</f>
        <v>13:53:25.288</v>
      </c>
      <c r="U353" t="str">
        <f t="shared" si="19"/>
        <v>A92BC1</v>
      </c>
      <c r="V353">
        <v>0</v>
      </c>
      <c r="W353">
        <v>0</v>
      </c>
      <c r="X353">
        <v>2</v>
      </c>
      <c r="Z353">
        <v>0</v>
      </c>
      <c r="AA353">
        <v>9</v>
      </c>
      <c r="AB353">
        <v>3</v>
      </c>
      <c r="AC353">
        <v>0</v>
      </c>
      <c r="AD353">
        <v>10</v>
      </c>
      <c r="AE353">
        <v>0</v>
      </c>
      <c r="AF353">
        <v>3</v>
      </c>
      <c r="AG353">
        <v>2</v>
      </c>
      <c r="AH353">
        <v>0</v>
      </c>
      <c r="AI353" t="s">
        <v>454</v>
      </c>
      <c r="AJ353">
        <v>45.710205999999999</v>
      </c>
      <c r="AK353" t="s">
        <v>455</v>
      </c>
      <c r="AL353">
        <v>-89.414569999999998</v>
      </c>
      <c r="AM353">
        <v>100</v>
      </c>
      <c r="AN353">
        <v>7700</v>
      </c>
      <c r="AO353" t="s">
        <v>118</v>
      </c>
      <c r="AP353">
        <v>130</v>
      </c>
      <c r="AQ353">
        <v>105</v>
      </c>
      <c r="AR353">
        <v>1856</v>
      </c>
      <c r="AZ353">
        <v>1200</v>
      </c>
      <c r="BA353">
        <v>1</v>
      </c>
      <c r="BB353" t="str">
        <f t="shared" si="18"/>
        <v xml:space="preserve">N690LS  </v>
      </c>
      <c r="BC353">
        <v>1</v>
      </c>
      <c r="BE353">
        <v>0</v>
      </c>
      <c r="BF353">
        <v>0</v>
      </c>
      <c r="BG353">
        <v>0</v>
      </c>
      <c r="BH353">
        <v>7825</v>
      </c>
      <c r="BI353">
        <v>1</v>
      </c>
      <c r="BJ353">
        <v>1</v>
      </c>
      <c r="BK353">
        <v>1</v>
      </c>
      <c r="BL353">
        <v>0</v>
      </c>
      <c r="BO353">
        <v>0</v>
      </c>
      <c r="BP353">
        <v>0</v>
      </c>
      <c r="BW353" t="str">
        <f>"13:53:25.692"</f>
        <v>13:53:25.692</v>
      </c>
      <c r="CJ353">
        <v>0</v>
      </c>
      <c r="CK353">
        <v>2</v>
      </c>
      <c r="CL353">
        <v>0</v>
      </c>
      <c r="CM353">
        <v>2</v>
      </c>
      <c r="CN353">
        <v>0</v>
      </c>
      <c r="CO353">
        <v>7</v>
      </c>
      <c r="CP353" t="s">
        <v>119</v>
      </c>
      <c r="CQ353">
        <v>197</v>
      </c>
      <c r="CR353">
        <v>2</v>
      </c>
      <c r="CW353">
        <v>2246785</v>
      </c>
      <c r="CY353">
        <v>1</v>
      </c>
      <c r="CZ353">
        <v>0</v>
      </c>
      <c r="DA353">
        <v>0</v>
      </c>
      <c r="DB353">
        <v>0</v>
      </c>
      <c r="DC353">
        <v>0</v>
      </c>
      <c r="DD353">
        <v>0</v>
      </c>
      <c r="DE353">
        <v>0</v>
      </c>
      <c r="DF353">
        <v>0</v>
      </c>
      <c r="DG353">
        <v>0</v>
      </c>
      <c r="DH353">
        <v>0</v>
      </c>
      <c r="DI353">
        <v>0</v>
      </c>
    </row>
    <row r="354" spans="1:113" x14ac:dyDescent="0.3">
      <c r="A354" t="str">
        <f>"09/28/2021 13:53:25.936"</f>
        <v>09/28/2021 13:53:25.936</v>
      </c>
      <c r="C354" t="str">
        <f t="shared" si="17"/>
        <v>FFDFD3C0</v>
      </c>
      <c r="D354" t="s">
        <v>113</v>
      </c>
      <c r="E354">
        <v>7</v>
      </c>
      <c r="H354">
        <v>170</v>
      </c>
      <c r="I354" t="s">
        <v>114</v>
      </c>
      <c r="J354" t="s">
        <v>115</v>
      </c>
      <c r="K354">
        <v>0</v>
      </c>
      <c r="L354">
        <v>3</v>
      </c>
      <c r="M354">
        <v>0</v>
      </c>
      <c r="N354">
        <v>2</v>
      </c>
      <c r="O354">
        <v>1</v>
      </c>
      <c r="P354">
        <v>0</v>
      </c>
      <c r="Q354">
        <v>0</v>
      </c>
      <c r="S354" t="str">
        <f>"13:53:25.688"</f>
        <v>13:53:25.688</v>
      </c>
      <c r="T354" t="str">
        <f>"13:53:25.288"</f>
        <v>13:53:25.288</v>
      </c>
      <c r="U354" t="str">
        <f t="shared" si="19"/>
        <v>A92BC1</v>
      </c>
      <c r="V354">
        <v>0</v>
      </c>
      <c r="W354">
        <v>0</v>
      </c>
      <c r="X354">
        <v>2</v>
      </c>
      <c r="Z354">
        <v>0</v>
      </c>
      <c r="AA354">
        <v>9</v>
      </c>
      <c r="AB354">
        <v>3</v>
      </c>
      <c r="AC354">
        <v>0</v>
      </c>
      <c r="AD354">
        <v>10</v>
      </c>
      <c r="AE354">
        <v>0</v>
      </c>
      <c r="AF354">
        <v>3</v>
      </c>
      <c r="AG354">
        <v>2</v>
      </c>
      <c r="AH354">
        <v>0</v>
      </c>
      <c r="AI354" t="s">
        <v>454</v>
      </c>
      <c r="AJ354">
        <v>45.710205999999999</v>
      </c>
      <c r="AK354" t="s">
        <v>455</v>
      </c>
      <c r="AL354">
        <v>-89.414569999999998</v>
      </c>
      <c r="AM354">
        <v>100</v>
      </c>
      <c r="AN354">
        <v>7700</v>
      </c>
      <c r="AO354" t="s">
        <v>118</v>
      </c>
      <c r="AP354">
        <v>130</v>
      </c>
      <c r="AQ354">
        <v>105</v>
      </c>
      <c r="AR354">
        <v>1856</v>
      </c>
      <c r="AZ354">
        <v>1200</v>
      </c>
      <c r="BA354">
        <v>1</v>
      </c>
      <c r="BB354" t="str">
        <f t="shared" si="18"/>
        <v xml:space="preserve">N690LS  </v>
      </c>
      <c r="BC354">
        <v>1</v>
      </c>
      <c r="BE354">
        <v>0</v>
      </c>
      <c r="BF354">
        <v>0</v>
      </c>
      <c r="BG354">
        <v>0</v>
      </c>
      <c r="BH354">
        <v>7825</v>
      </c>
      <c r="BI354">
        <v>1</v>
      </c>
      <c r="BJ354">
        <v>1</v>
      </c>
      <c r="BK354">
        <v>1</v>
      </c>
      <c r="BL354">
        <v>0</v>
      </c>
      <c r="BO354">
        <v>0</v>
      </c>
      <c r="BP354">
        <v>0</v>
      </c>
      <c r="BW354" t="str">
        <f>"13:53:25.692"</f>
        <v>13:53:25.692</v>
      </c>
      <c r="CJ354">
        <v>0</v>
      </c>
      <c r="CK354">
        <v>2</v>
      </c>
      <c r="CL354">
        <v>0</v>
      </c>
      <c r="CM354">
        <v>2</v>
      </c>
      <c r="CN354">
        <v>0</v>
      </c>
      <c r="CO354">
        <v>7</v>
      </c>
      <c r="CP354" t="s">
        <v>119</v>
      </c>
      <c r="CQ354">
        <v>197</v>
      </c>
      <c r="CR354">
        <v>2</v>
      </c>
      <c r="CW354">
        <v>2246785</v>
      </c>
      <c r="CY354">
        <v>1</v>
      </c>
      <c r="CZ354">
        <v>0</v>
      </c>
      <c r="DA354">
        <v>1</v>
      </c>
      <c r="DB354">
        <v>0</v>
      </c>
      <c r="DC354">
        <v>0</v>
      </c>
      <c r="DD354">
        <v>0</v>
      </c>
      <c r="DE354">
        <v>0</v>
      </c>
      <c r="DF354">
        <v>0</v>
      </c>
      <c r="DG354">
        <v>0</v>
      </c>
      <c r="DH354">
        <v>0</v>
      </c>
      <c r="DI354">
        <v>0</v>
      </c>
    </row>
    <row r="355" spans="1:113" x14ac:dyDescent="0.3">
      <c r="A355" t="str">
        <f>"09/28/2021 13:53:26.900"</f>
        <v>09/28/2021 13:53:26.900</v>
      </c>
      <c r="C355" t="str">
        <f t="shared" si="17"/>
        <v>FFDFD3C0</v>
      </c>
      <c r="D355" t="s">
        <v>120</v>
      </c>
      <c r="E355">
        <v>12</v>
      </c>
      <c r="F355">
        <v>1012</v>
      </c>
      <c r="G355" t="s">
        <v>114</v>
      </c>
      <c r="J355" t="s">
        <v>121</v>
      </c>
      <c r="K355">
        <v>0</v>
      </c>
      <c r="L355">
        <v>3</v>
      </c>
      <c r="M355">
        <v>0</v>
      </c>
      <c r="N355">
        <v>2</v>
      </c>
      <c r="O355">
        <v>1</v>
      </c>
      <c r="P355">
        <v>0</v>
      </c>
      <c r="Q355">
        <v>0</v>
      </c>
      <c r="S355" t="str">
        <f>"13:53:26.719"</f>
        <v>13:53:26.719</v>
      </c>
      <c r="T355" t="str">
        <f>"13:53:26.319"</f>
        <v>13:53:26.319</v>
      </c>
      <c r="U355" t="str">
        <f t="shared" si="19"/>
        <v>A92BC1</v>
      </c>
      <c r="V355">
        <v>0</v>
      </c>
      <c r="W355">
        <v>0</v>
      </c>
      <c r="X355">
        <v>2</v>
      </c>
      <c r="Z355">
        <v>0</v>
      </c>
      <c r="AA355">
        <v>9</v>
      </c>
      <c r="AB355">
        <v>3</v>
      </c>
      <c r="AC355">
        <v>0</v>
      </c>
      <c r="AD355">
        <v>10</v>
      </c>
      <c r="AE355">
        <v>0</v>
      </c>
      <c r="AF355">
        <v>3</v>
      </c>
      <c r="AG355">
        <v>2</v>
      </c>
      <c r="AH355">
        <v>0</v>
      </c>
      <c r="AI355" t="s">
        <v>456</v>
      </c>
      <c r="AJ355">
        <v>45.710656999999998</v>
      </c>
      <c r="AK355" t="s">
        <v>457</v>
      </c>
      <c r="AL355">
        <v>-89.413732999999993</v>
      </c>
      <c r="AM355">
        <v>100</v>
      </c>
      <c r="AN355">
        <v>7700</v>
      </c>
      <c r="AO355" t="s">
        <v>118</v>
      </c>
      <c r="AP355">
        <v>131</v>
      </c>
      <c r="AQ355">
        <v>105</v>
      </c>
      <c r="AR355">
        <v>1856</v>
      </c>
      <c r="AZ355">
        <v>1200</v>
      </c>
      <c r="BA355">
        <v>1</v>
      </c>
      <c r="BB355" t="str">
        <f t="shared" si="18"/>
        <v xml:space="preserve">N690LS  </v>
      </c>
      <c r="BC355">
        <v>1</v>
      </c>
      <c r="BE355">
        <v>0</v>
      </c>
      <c r="BF355">
        <v>0</v>
      </c>
      <c r="BG355">
        <v>0</v>
      </c>
      <c r="BH355">
        <v>7875</v>
      </c>
      <c r="BI355">
        <v>1</v>
      </c>
      <c r="BJ355">
        <v>1</v>
      </c>
      <c r="BK355">
        <v>1</v>
      </c>
      <c r="BL355">
        <v>0</v>
      </c>
      <c r="BO355">
        <v>0</v>
      </c>
      <c r="BP355">
        <v>0</v>
      </c>
      <c r="BW355" t="str">
        <f>"13:53:26.721"</f>
        <v>13:53:26.721</v>
      </c>
      <c r="CJ355">
        <v>0</v>
      </c>
      <c r="CK355">
        <v>2</v>
      </c>
      <c r="CL355">
        <v>0</v>
      </c>
      <c r="CM355">
        <v>2</v>
      </c>
      <c r="CN355">
        <v>0</v>
      </c>
      <c r="CO355">
        <v>7</v>
      </c>
      <c r="CP355" t="s">
        <v>119</v>
      </c>
      <c r="CQ355">
        <v>197</v>
      </c>
      <c r="CR355">
        <v>2</v>
      </c>
      <c r="CW355">
        <v>2247615</v>
      </c>
      <c r="CY355">
        <v>1</v>
      </c>
      <c r="CZ355">
        <v>0</v>
      </c>
      <c r="DA355">
        <v>0</v>
      </c>
      <c r="DB355">
        <v>0</v>
      </c>
      <c r="DC355">
        <v>0</v>
      </c>
      <c r="DD355">
        <v>0</v>
      </c>
      <c r="DE355">
        <v>0</v>
      </c>
      <c r="DF355">
        <v>0</v>
      </c>
      <c r="DG355">
        <v>0</v>
      </c>
      <c r="DH355">
        <v>0</v>
      </c>
      <c r="DI355">
        <v>0</v>
      </c>
    </row>
    <row r="356" spans="1:113" x14ac:dyDescent="0.3">
      <c r="A356" t="str">
        <f>"09/28/2021 13:53:26.931"</f>
        <v>09/28/2021 13:53:26.931</v>
      </c>
      <c r="C356" t="str">
        <f t="shared" si="17"/>
        <v>FFDFD3C0</v>
      </c>
      <c r="D356" t="s">
        <v>113</v>
      </c>
      <c r="E356">
        <v>7</v>
      </c>
      <c r="H356">
        <v>170</v>
      </c>
      <c r="I356" t="s">
        <v>114</v>
      </c>
      <c r="J356" t="s">
        <v>115</v>
      </c>
      <c r="K356">
        <v>0</v>
      </c>
      <c r="L356">
        <v>3</v>
      </c>
      <c r="M356">
        <v>0</v>
      </c>
      <c r="N356">
        <v>2</v>
      </c>
      <c r="O356">
        <v>1</v>
      </c>
      <c r="P356">
        <v>0</v>
      </c>
      <c r="Q356">
        <v>0</v>
      </c>
      <c r="S356" t="str">
        <f>"13:53:26.719"</f>
        <v>13:53:26.719</v>
      </c>
      <c r="T356" t="str">
        <f>"13:53:26.319"</f>
        <v>13:53:26.319</v>
      </c>
      <c r="U356" t="str">
        <f t="shared" si="19"/>
        <v>A92BC1</v>
      </c>
      <c r="V356">
        <v>0</v>
      </c>
      <c r="W356">
        <v>0</v>
      </c>
      <c r="X356">
        <v>2</v>
      </c>
      <c r="Z356">
        <v>0</v>
      </c>
      <c r="AA356">
        <v>9</v>
      </c>
      <c r="AB356">
        <v>3</v>
      </c>
      <c r="AC356">
        <v>0</v>
      </c>
      <c r="AD356">
        <v>10</v>
      </c>
      <c r="AE356">
        <v>0</v>
      </c>
      <c r="AF356">
        <v>3</v>
      </c>
      <c r="AG356">
        <v>2</v>
      </c>
      <c r="AH356">
        <v>0</v>
      </c>
      <c r="AI356" t="s">
        <v>456</v>
      </c>
      <c r="AJ356">
        <v>45.710656999999998</v>
      </c>
      <c r="AK356" t="s">
        <v>457</v>
      </c>
      <c r="AL356">
        <v>-89.413732999999993</v>
      </c>
      <c r="AM356">
        <v>100</v>
      </c>
      <c r="AN356">
        <v>7700</v>
      </c>
      <c r="AO356" t="s">
        <v>118</v>
      </c>
      <c r="AP356">
        <v>131</v>
      </c>
      <c r="AQ356">
        <v>105</v>
      </c>
      <c r="AR356">
        <v>1856</v>
      </c>
      <c r="AZ356">
        <v>1200</v>
      </c>
      <c r="BA356">
        <v>1</v>
      </c>
      <c r="BB356" t="str">
        <f t="shared" si="18"/>
        <v xml:space="preserve">N690LS  </v>
      </c>
      <c r="BC356">
        <v>1</v>
      </c>
      <c r="BE356">
        <v>0</v>
      </c>
      <c r="BF356">
        <v>0</v>
      </c>
      <c r="BG356">
        <v>0</v>
      </c>
      <c r="BH356">
        <v>7875</v>
      </c>
      <c r="BI356">
        <v>1</v>
      </c>
      <c r="BJ356">
        <v>1</v>
      </c>
      <c r="BK356">
        <v>1</v>
      </c>
      <c r="BL356">
        <v>0</v>
      </c>
      <c r="BO356">
        <v>0</v>
      </c>
      <c r="BP356">
        <v>0</v>
      </c>
      <c r="BW356" t="str">
        <f>"13:53:26.721"</f>
        <v>13:53:26.721</v>
      </c>
      <c r="CJ356">
        <v>0</v>
      </c>
      <c r="CK356">
        <v>2</v>
      </c>
      <c r="CL356">
        <v>0</v>
      </c>
      <c r="CM356">
        <v>2</v>
      </c>
      <c r="CN356">
        <v>0</v>
      </c>
      <c r="CO356">
        <v>7</v>
      </c>
      <c r="CP356" t="s">
        <v>119</v>
      </c>
      <c r="CQ356">
        <v>197</v>
      </c>
      <c r="CR356">
        <v>2</v>
      </c>
      <c r="CW356">
        <v>2247615</v>
      </c>
      <c r="CY356">
        <v>1</v>
      </c>
      <c r="CZ356">
        <v>0</v>
      </c>
      <c r="DA356">
        <v>1</v>
      </c>
      <c r="DB356">
        <v>0</v>
      </c>
      <c r="DC356">
        <v>0</v>
      </c>
      <c r="DD356">
        <v>0</v>
      </c>
      <c r="DE356">
        <v>0</v>
      </c>
      <c r="DF356">
        <v>0</v>
      </c>
      <c r="DG356">
        <v>0</v>
      </c>
      <c r="DH356">
        <v>0</v>
      </c>
      <c r="DI356">
        <v>0</v>
      </c>
    </row>
    <row r="357" spans="1:113" x14ac:dyDescent="0.3">
      <c r="A357" t="str">
        <f>"09/28/2021 13:53:28.103"</f>
        <v>09/28/2021 13:53:28.103</v>
      </c>
      <c r="C357" t="str">
        <f t="shared" si="17"/>
        <v>FFDFD3C0</v>
      </c>
      <c r="D357" t="s">
        <v>120</v>
      </c>
      <c r="E357">
        <v>12</v>
      </c>
      <c r="F357">
        <v>1012</v>
      </c>
      <c r="G357" t="s">
        <v>114</v>
      </c>
      <c r="J357" t="s">
        <v>121</v>
      </c>
      <c r="K357">
        <v>0</v>
      </c>
      <c r="L357">
        <v>3</v>
      </c>
      <c r="M357">
        <v>0</v>
      </c>
      <c r="N357">
        <v>2</v>
      </c>
      <c r="O357">
        <v>1</v>
      </c>
      <c r="P357">
        <v>0</v>
      </c>
      <c r="Q357">
        <v>0</v>
      </c>
      <c r="S357" t="str">
        <f>"13:53:27.875"</f>
        <v>13:53:27.875</v>
      </c>
      <c r="T357" t="str">
        <f>"13:53:27.375"</f>
        <v>13:53:27.375</v>
      </c>
      <c r="U357" t="str">
        <f t="shared" si="19"/>
        <v>A92BC1</v>
      </c>
      <c r="V357">
        <v>0</v>
      </c>
      <c r="W357">
        <v>0</v>
      </c>
      <c r="X357">
        <v>2</v>
      </c>
      <c r="Z357">
        <v>0</v>
      </c>
      <c r="AA357">
        <v>9</v>
      </c>
      <c r="AB357">
        <v>3</v>
      </c>
      <c r="AC357">
        <v>0</v>
      </c>
      <c r="AD357">
        <v>10</v>
      </c>
      <c r="AE357">
        <v>0</v>
      </c>
      <c r="AF357">
        <v>3</v>
      </c>
      <c r="AG357">
        <v>2</v>
      </c>
      <c r="AH357">
        <v>0</v>
      </c>
      <c r="AI357" t="s">
        <v>458</v>
      </c>
      <c r="AJ357">
        <v>45.711278999999998</v>
      </c>
      <c r="AK357" t="s">
        <v>459</v>
      </c>
      <c r="AL357">
        <v>-89.412704000000005</v>
      </c>
      <c r="AM357">
        <v>100</v>
      </c>
      <c r="AN357">
        <v>7700</v>
      </c>
      <c r="AO357" t="s">
        <v>118</v>
      </c>
      <c r="AP357">
        <v>131</v>
      </c>
      <c r="AQ357">
        <v>105</v>
      </c>
      <c r="AR357">
        <v>1856</v>
      </c>
      <c r="AZ357">
        <v>1200</v>
      </c>
      <c r="BA357">
        <v>1</v>
      </c>
      <c r="BB357" t="str">
        <f t="shared" si="18"/>
        <v xml:space="preserve">N690LS  </v>
      </c>
      <c r="BC357">
        <v>1</v>
      </c>
      <c r="BE357">
        <v>0</v>
      </c>
      <c r="BF357">
        <v>0</v>
      </c>
      <c r="BG357">
        <v>0</v>
      </c>
      <c r="BH357">
        <v>7900</v>
      </c>
      <c r="BI357">
        <v>1</v>
      </c>
      <c r="BJ357">
        <v>1</v>
      </c>
      <c r="BK357">
        <v>1</v>
      </c>
      <c r="BL357">
        <v>0</v>
      </c>
      <c r="BO357">
        <v>0</v>
      </c>
      <c r="BP357">
        <v>0</v>
      </c>
      <c r="BW357" t="str">
        <f>"13:53:27.877"</f>
        <v>13:53:27.877</v>
      </c>
      <c r="CJ357">
        <v>0</v>
      </c>
      <c r="CK357">
        <v>2</v>
      </c>
      <c r="CL357">
        <v>0</v>
      </c>
      <c r="CM357">
        <v>2</v>
      </c>
      <c r="CN357">
        <v>0</v>
      </c>
      <c r="CO357">
        <v>7</v>
      </c>
      <c r="CP357" t="s">
        <v>119</v>
      </c>
      <c r="CQ357">
        <v>197</v>
      </c>
      <c r="CR357">
        <v>1</v>
      </c>
      <c r="CW357">
        <v>7153003</v>
      </c>
      <c r="CY357">
        <v>1</v>
      </c>
      <c r="CZ357">
        <v>0</v>
      </c>
      <c r="DA357">
        <v>0</v>
      </c>
      <c r="DB357">
        <v>0</v>
      </c>
      <c r="DC357">
        <v>0</v>
      </c>
      <c r="DD357">
        <v>0</v>
      </c>
      <c r="DE357">
        <v>0</v>
      </c>
      <c r="DF357">
        <v>0</v>
      </c>
      <c r="DG357">
        <v>0</v>
      </c>
      <c r="DH357">
        <v>0</v>
      </c>
      <c r="DI357">
        <v>0</v>
      </c>
    </row>
    <row r="358" spans="1:113" x14ac:dyDescent="0.3">
      <c r="A358" t="str">
        <f>"09/28/2021 13:53:28.103"</f>
        <v>09/28/2021 13:53:28.103</v>
      </c>
      <c r="C358" t="str">
        <f t="shared" si="17"/>
        <v>FFDFD3C0</v>
      </c>
      <c r="D358" t="s">
        <v>113</v>
      </c>
      <c r="E358">
        <v>7</v>
      </c>
      <c r="H358">
        <v>170</v>
      </c>
      <c r="I358" t="s">
        <v>114</v>
      </c>
      <c r="J358" t="s">
        <v>115</v>
      </c>
      <c r="K358">
        <v>0</v>
      </c>
      <c r="L358">
        <v>3</v>
      </c>
      <c r="M358">
        <v>0</v>
      </c>
      <c r="N358">
        <v>2</v>
      </c>
      <c r="O358">
        <v>1</v>
      </c>
      <c r="P358">
        <v>0</v>
      </c>
      <c r="Q358">
        <v>0</v>
      </c>
      <c r="S358" t="str">
        <f>"13:53:27.875"</f>
        <v>13:53:27.875</v>
      </c>
      <c r="T358" t="str">
        <f>"13:53:27.375"</f>
        <v>13:53:27.375</v>
      </c>
      <c r="U358" t="str">
        <f t="shared" si="19"/>
        <v>A92BC1</v>
      </c>
      <c r="V358">
        <v>0</v>
      </c>
      <c r="W358">
        <v>0</v>
      </c>
      <c r="X358">
        <v>2</v>
      </c>
      <c r="Z358">
        <v>0</v>
      </c>
      <c r="AA358">
        <v>9</v>
      </c>
      <c r="AB358">
        <v>3</v>
      </c>
      <c r="AC358">
        <v>0</v>
      </c>
      <c r="AD358">
        <v>10</v>
      </c>
      <c r="AE358">
        <v>0</v>
      </c>
      <c r="AF358">
        <v>3</v>
      </c>
      <c r="AG358">
        <v>2</v>
      </c>
      <c r="AH358">
        <v>0</v>
      </c>
      <c r="AI358" t="s">
        <v>458</v>
      </c>
      <c r="AJ358">
        <v>45.711278999999998</v>
      </c>
      <c r="AK358" t="s">
        <v>459</v>
      </c>
      <c r="AL358">
        <v>-89.412704000000005</v>
      </c>
      <c r="AM358">
        <v>100</v>
      </c>
      <c r="AN358">
        <v>7700</v>
      </c>
      <c r="AO358" t="s">
        <v>118</v>
      </c>
      <c r="AP358">
        <v>131</v>
      </c>
      <c r="AQ358">
        <v>105</v>
      </c>
      <c r="AR358">
        <v>1856</v>
      </c>
      <c r="AZ358">
        <v>1200</v>
      </c>
      <c r="BA358">
        <v>1</v>
      </c>
      <c r="BB358" t="str">
        <f t="shared" si="18"/>
        <v xml:space="preserve">N690LS  </v>
      </c>
      <c r="BC358">
        <v>1</v>
      </c>
      <c r="BE358">
        <v>0</v>
      </c>
      <c r="BF358">
        <v>0</v>
      </c>
      <c r="BG358">
        <v>0</v>
      </c>
      <c r="BH358">
        <v>7900</v>
      </c>
      <c r="BI358">
        <v>1</v>
      </c>
      <c r="BJ358">
        <v>1</v>
      </c>
      <c r="BK358">
        <v>1</v>
      </c>
      <c r="BL358">
        <v>0</v>
      </c>
      <c r="BO358">
        <v>0</v>
      </c>
      <c r="BP358">
        <v>0</v>
      </c>
      <c r="BW358" t="str">
        <f>"13:53:27.877"</f>
        <v>13:53:27.877</v>
      </c>
      <c r="CJ358">
        <v>0</v>
      </c>
      <c r="CK358">
        <v>2</v>
      </c>
      <c r="CL358">
        <v>0</v>
      </c>
      <c r="CM358">
        <v>2</v>
      </c>
      <c r="CN358">
        <v>0</v>
      </c>
      <c r="CO358">
        <v>7</v>
      </c>
      <c r="CP358" t="s">
        <v>119</v>
      </c>
      <c r="CQ358">
        <v>197</v>
      </c>
      <c r="CR358">
        <v>1</v>
      </c>
      <c r="CW358">
        <v>7153003</v>
      </c>
      <c r="CY358">
        <v>1</v>
      </c>
      <c r="CZ358">
        <v>0</v>
      </c>
      <c r="DA358">
        <v>1</v>
      </c>
      <c r="DB358">
        <v>0</v>
      </c>
      <c r="DC358">
        <v>0</v>
      </c>
      <c r="DD358">
        <v>0</v>
      </c>
      <c r="DE358">
        <v>0</v>
      </c>
      <c r="DF358">
        <v>0</v>
      </c>
      <c r="DG358">
        <v>0</v>
      </c>
      <c r="DH358">
        <v>0</v>
      </c>
      <c r="DI358">
        <v>0</v>
      </c>
    </row>
    <row r="359" spans="1:113" x14ac:dyDescent="0.3">
      <c r="A359" t="str">
        <f>"09/28/2021 13:53:29.073"</f>
        <v>09/28/2021 13:53:29.073</v>
      </c>
      <c r="C359" t="str">
        <f t="shared" ref="C359:C422" si="20">"FFDFD3C0"</f>
        <v>FFDFD3C0</v>
      </c>
      <c r="D359" t="s">
        <v>113</v>
      </c>
      <c r="E359">
        <v>7</v>
      </c>
      <c r="H359">
        <v>170</v>
      </c>
      <c r="I359" t="s">
        <v>114</v>
      </c>
      <c r="J359" t="s">
        <v>115</v>
      </c>
      <c r="K359">
        <v>0</v>
      </c>
      <c r="L359">
        <v>3</v>
      </c>
      <c r="M359">
        <v>0</v>
      </c>
      <c r="N359">
        <v>2</v>
      </c>
      <c r="O359">
        <v>1</v>
      </c>
      <c r="P359">
        <v>0</v>
      </c>
      <c r="Q359">
        <v>0</v>
      </c>
      <c r="S359" t="str">
        <f>"13:53:28.875"</f>
        <v>13:53:28.875</v>
      </c>
      <c r="T359" t="str">
        <f>"13:53:28.375"</f>
        <v>13:53:28.375</v>
      </c>
      <c r="U359" t="str">
        <f t="shared" si="19"/>
        <v>A92BC1</v>
      </c>
      <c r="V359">
        <v>0</v>
      </c>
      <c r="W359">
        <v>0</v>
      </c>
      <c r="X359">
        <v>2</v>
      </c>
      <c r="Z359">
        <v>0</v>
      </c>
      <c r="AA359">
        <v>9</v>
      </c>
      <c r="AB359">
        <v>3</v>
      </c>
      <c r="AC359">
        <v>0</v>
      </c>
      <c r="AD359">
        <v>10</v>
      </c>
      <c r="AE359">
        <v>0</v>
      </c>
      <c r="AF359">
        <v>3</v>
      </c>
      <c r="AG359">
        <v>2</v>
      </c>
      <c r="AH359">
        <v>0</v>
      </c>
      <c r="AI359" t="s">
        <v>460</v>
      </c>
      <c r="AJ359">
        <v>45.711793999999998</v>
      </c>
      <c r="AK359" t="s">
        <v>461</v>
      </c>
      <c r="AL359">
        <v>-89.411823999999996</v>
      </c>
      <c r="AM359">
        <v>100</v>
      </c>
      <c r="AN359">
        <v>7800</v>
      </c>
      <c r="AO359" t="s">
        <v>118</v>
      </c>
      <c r="AP359">
        <v>131</v>
      </c>
      <c r="AQ359">
        <v>105</v>
      </c>
      <c r="AR359">
        <v>1920</v>
      </c>
      <c r="AZ359">
        <v>1200</v>
      </c>
      <c r="BA359">
        <v>1</v>
      </c>
      <c r="BB359" t="str">
        <f t="shared" ref="BB359:BB422" si="21">"N690LS  "</f>
        <v xml:space="preserve">N690LS  </v>
      </c>
      <c r="BC359">
        <v>1</v>
      </c>
      <c r="BE359">
        <v>0</v>
      </c>
      <c r="BF359">
        <v>0</v>
      </c>
      <c r="BG359">
        <v>0</v>
      </c>
      <c r="BH359">
        <v>7925</v>
      </c>
      <c r="BI359">
        <v>1</v>
      </c>
      <c r="BJ359">
        <v>1</v>
      </c>
      <c r="BK359">
        <v>1</v>
      </c>
      <c r="BL359">
        <v>0</v>
      </c>
      <c r="BO359">
        <v>0</v>
      </c>
      <c r="BP359">
        <v>0</v>
      </c>
      <c r="BW359" t="str">
        <f>"13:53:28.877"</f>
        <v>13:53:28.877</v>
      </c>
      <c r="CJ359">
        <v>0</v>
      </c>
      <c r="CK359">
        <v>2</v>
      </c>
      <c r="CL359">
        <v>0</v>
      </c>
      <c r="CM359">
        <v>2</v>
      </c>
      <c r="CN359">
        <v>0</v>
      </c>
      <c r="CO359">
        <v>7</v>
      </c>
      <c r="CP359" t="s">
        <v>119</v>
      </c>
      <c r="CQ359">
        <v>197</v>
      </c>
      <c r="CR359">
        <v>2</v>
      </c>
      <c r="CW359">
        <v>2249531</v>
      </c>
      <c r="CY359">
        <v>1</v>
      </c>
      <c r="CZ359">
        <v>0</v>
      </c>
      <c r="DA359">
        <v>0</v>
      </c>
      <c r="DB359">
        <v>0</v>
      </c>
      <c r="DC359">
        <v>0</v>
      </c>
      <c r="DD359">
        <v>0</v>
      </c>
      <c r="DE359">
        <v>0</v>
      </c>
      <c r="DF359">
        <v>0</v>
      </c>
      <c r="DG359">
        <v>0</v>
      </c>
      <c r="DH359">
        <v>0</v>
      </c>
      <c r="DI359">
        <v>0</v>
      </c>
    </row>
    <row r="360" spans="1:113" x14ac:dyDescent="0.3">
      <c r="A360" t="str">
        <f>"09/28/2021 13:53:29.073"</f>
        <v>09/28/2021 13:53:29.073</v>
      </c>
      <c r="C360" t="str">
        <f t="shared" si="20"/>
        <v>FFDFD3C0</v>
      </c>
      <c r="D360" t="s">
        <v>120</v>
      </c>
      <c r="E360">
        <v>12</v>
      </c>
      <c r="F360">
        <v>1012</v>
      </c>
      <c r="G360" t="s">
        <v>114</v>
      </c>
      <c r="J360" t="s">
        <v>121</v>
      </c>
      <c r="K360">
        <v>0</v>
      </c>
      <c r="L360">
        <v>3</v>
      </c>
      <c r="M360">
        <v>0</v>
      </c>
      <c r="N360">
        <v>2</v>
      </c>
      <c r="O360">
        <v>1</v>
      </c>
      <c r="P360">
        <v>0</v>
      </c>
      <c r="Q360">
        <v>0</v>
      </c>
      <c r="S360" t="str">
        <f>"13:53:28.875"</f>
        <v>13:53:28.875</v>
      </c>
      <c r="T360" t="str">
        <f>"13:53:28.375"</f>
        <v>13:53:28.375</v>
      </c>
      <c r="U360" t="str">
        <f t="shared" si="19"/>
        <v>A92BC1</v>
      </c>
      <c r="V360">
        <v>0</v>
      </c>
      <c r="W360">
        <v>0</v>
      </c>
      <c r="X360">
        <v>2</v>
      </c>
      <c r="Z360">
        <v>0</v>
      </c>
      <c r="AA360">
        <v>9</v>
      </c>
      <c r="AB360">
        <v>3</v>
      </c>
      <c r="AC360">
        <v>0</v>
      </c>
      <c r="AD360">
        <v>10</v>
      </c>
      <c r="AE360">
        <v>0</v>
      </c>
      <c r="AF360">
        <v>3</v>
      </c>
      <c r="AG360">
        <v>2</v>
      </c>
      <c r="AH360">
        <v>0</v>
      </c>
      <c r="AI360" t="s">
        <v>460</v>
      </c>
      <c r="AJ360">
        <v>45.711793999999998</v>
      </c>
      <c r="AK360" t="s">
        <v>461</v>
      </c>
      <c r="AL360">
        <v>-89.411823999999996</v>
      </c>
      <c r="AM360">
        <v>100</v>
      </c>
      <c r="AN360">
        <v>7800</v>
      </c>
      <c r="AO360" t="s">
        <v>118</v>
      </c>
      <c r="AP360">
        <v>131</v>
      </c>
      <c r="AQ360">
        <v>105</v>
      </c>
      <c r="AR360">
        <v>1920</v>
      </c>
      <c r="AZ360">
        <v>1200</v>
      </c>
      <c r="BA360">
        <v>1</v>
      </c>
      <c r="BB360" t="str">
        <f t="shared" si="21"/>
        <v xml:space="preserve">N690LS  </v>
      </c>
      <c r="BC360">
        <v>1</v>
      </c>
      <c r="BE360">
        <v>0</v>
      </c>
      <c r="BF360">
        <v>0</v>
      </c>
      <c r="BG360">
        <v>0</v>
      </c>
      <c r="BH360">
        <v>7925</v>
      </c>
      <c r="BI360">
        <v>1</v>
      </c>
      <c r="BJ360">
        <v>1</v>
      </c>
      <c r="BK360">
        <v>1</v>
      </c>
      <c r="BL360">
        <v>0</v>
      </c>
      <c r="BO360">
        <v>0</v>
      </c>
      <c r="BP360">
        <v>0</v>
      </c>
      <c r="BW360" t="str">
        <f>"13:53:28.877"</f>
        <v>13:53:28.877</v>
      </c>
      <c r="CJ360">
        <v>0</v>
      </c>
      <c r="CK360">
        <v>2</v>
      </c>
      <c r="CL360">
        <v>0</v>
      </c>
      <c r="CM360">
        <v>2</v>
      </c>
      <c r="CN360">
        <v>0</v>
      </c>
      <c r="CO360">
        <v>7</v>
      </c>
      <c r="CP360" t="s">
        <v>119</v>
      </c>
      <c r="CQ360">
        <v>197</v>
      </c>
      <c r="CR360">
        <v>2</v>
      </c>
      <c r="CW360">
        <v>2249531</v>
      </c>
      <c r="CY360">
        <v>1</v>
      </c>
      <c r="CZ360">
        <v>0</v>
      </c>
      <c r="DA360">
        <v>1</v>
      </c>
      <c r="DB360">
        <v>0</v>
      </c>
      <c r="DC360">
        <v>0</v>
      </c>
      <c r="DD360">
        <v>0</v>
      </c>
      <c r="DE360">
        <v>0</v>
      </c>
      <c r="DF360">
        <v>0</v>
      </c>
      <c r="DG360">
        <v>0</v>
      </c>
      <c r="DH360">
        <v>0</v>
      </c>
      <c r="DI360">
        <v>0</v>
      </c>
    </row>
    <row r="361" spans="1:113" x14ac:dyDescent="0.3">
      <c r="A361" t="str">
        <f>"09/28/2021 13:53:30.120"</f>
        <v>09/28/2021 13:53:30.120</v>
      </c>
      <c r="C361" t="str">
        <f t="shared" si="20"/>
        <v>FFDFD3C0</v>
      </c>
      <c r="D361" t="s">
        <v>113</v>
      </c>
      <c r="E361">
        <v>7</v>
      </c>
      <c r="H361">
        <v>170</v>
      </c>
      <c r="I361" t="s">
        <v>114</v>
      </c>
      <c r="J361" t="s">
        <v>115</v>
      </c>
      <c r="K361">
        <v>0</v>
      </c>
      <c r="L361">
        <v>3</v>
      </c>
      <c r="M361">
        <v>0</v>
      </c>
      <c r="N361">
        <v>2</v>
      </c>
      <c r="O361">
        <v>1</v>
      </c>
      <c r="P361">
        <v>0</v>
      </c>
      <c r="Q361">
        <v>0</v>
      </c>
      <c r="S361" t="str">
        <f>"13:53:29.891"</f>
        <v>13:53:29.891</v>
      </c>
      <c r="T361" t="str">
        <f>"13:53:29.491"</f>
        <v>13:53:29.491</v>
      </c>
      <c r="U361" t="str">
        <f t="shared" si="19"/>
        <v>A92BC1</v>
      </c>
      <c r="V361">
        <v>0</v>
      </c>
      <c r="W361">
        <v>0</v>
      </c>
      <c r="X361">
        <v>2</v>
      </c>
      <c r="Z361">
        <v>0</v>
      </c>
      <c r="AA361">
        <v>9</v>
      </c>
      <c r="AB361">
        <v>3</v>
      </c>
      <c r="AC361">
        <v>0</v>
      </c>
      <c r="AD361">
        <v>10</v>
      </c>
      <c r="AE361">
        <v>0</v>
      </c>
      <c r="AF361">
        <v>3</v>
      </c>
      <c r="AG361">
        <v>2</v>
      </c>
      <c r="AH361">
        <v>0</v>
      </c>
      <c r="AI361" t="s">
        <v>462</v>
      </c>
      <c r="AJ361">
        <v>45.712245000000003</v>
      </c>
      <c r="AK361" t="s">
        <v>463</v>
      </c>
      <c r="AL361">
        <v>-89.410922999999997</v>
      </c>
      <c r="AM361">
        <v>100</v>
      </c>
      <c r="AN361">
        <v>7800</v>
      </c>
      <c r="AO361" t="s">
        <v>118</v>
      </c>
      <c r="AP361">
        <v>131</v>
      </c>
      <c r="AQ361">
        <v>105</v>
      </c>
      <c r="AR361">
        <v>1920</v>
      </c>
      <c r="AZ361">
        <v>1200</v>
      </c>
      <c r="BA361">
        <v>1</v>
      </c>
      <c r="BB361" t="str">
        <f t="shared" si="21"/>
        <v xml:space="preserve">N690LS  </v>
      </c>
      <c r="BC361">
        <v>1</v>
      </c>
      <c r="BE361">
        <v>0</v>
      </c>
      <c r="BF361">
        <v>0</v>
      </c>
      <c r="BG361">
        <v>0</v>
      </c>
      <c r="BH361">
        <v>7975</v>
      </c>
      <c r="BI361">
        <v>1</v>
      </c>
      <c r="BJ361">
        <v>1</v>
      </c>
      <c r="BK361">
        <v>1</v>
      </c>
      <c r="BL361">
        <v>0</v>
      </c>
      <c r="BO361">
        <v>0</v>
      </c>
      <c r="BP361">
        <v>0</v>
      </c>
      <c r="BW361" t="str">
        <f>"13:53:29.894"</f>
        <v>13:53:29.894</v>
      </c>
      <c r="CJ361">
        <v>0</v>
      </c>
      <c r="CK361">
        <v>2</v>
      </c>
      <c r="CL361">
        <v>0</v>
      </c>
      <c r="CM361">
        <v>2</v>
      </c>
      <c r="CN361">
        <v>0</v>
      </c>
      <c r="CO361">
        <v>7</v>
      </c>
      <c r="CP361" t="s">
        <v>119</v>
      </c>
      <c r="CQ361">
        <v>197</v>
      </c>
      <c r="CR361">
        <v>1</v>
      </c>
      <c r="CW361">
        <v>7155426</v>
      </c>
      <c r="CY361">
        <v>1</v>
      </c>
      <c r="CZ361">
        <v>0</v>
      </c>
      <c r="DA361">
        <v>0</v>
      </c>
      <c r="DB361">
        <v>0</v>
      </c>
      <c r="DC361">
        <v>0</v>
      </c>
      <c r="DD361">
        <v>0</v>
      </c>
      <c r="DE361">
        <v>0</v>
      </c>
      <c r="DF361">
        <v>0</v>
      </c>
      <c r="DG361">
        <v>0</v>
      </c>
      <c r="DH361">
        <v>0</v>
      </c>
      <c r="DI361">
        <v>0</v>
      </c>
    </row>
    <row r="362" spans="1:113" x14ac:dyDescent="0.3">
      <c r="A362" t="str">
        <f>"09/28/2021 13:53:30.120"</f>
        <v>09/28/2021 13:53:30.120</v>
      </c>
      <c r="C362" t="str">
        <f t="shared" si="20"/>
        <v>FFDFD3C0</v>
      </c>
      <c r="D362" t="s">
        <v>120</v>
      </c>
      <c r="E362">
        <v>12</v>
      </c>
      <c r="F362">
        <v>1012</v>
      </c>
      <c r="G362" t="s">
        <v>114</v>
      </c>
      <c r="J362" t="s">
        <v>121</v>
      </c>
      <c r="K362">
        <v>0</v>
      </c>
      <c r="L362">
        <v>3</v>
      </c>
      <c r="M362">
        <v>0</v>
      </c>
      <c r="N362">
        <v>2</v>
      </c>
      <c r="O362">
        <v>1</v>
      </c>
      <c r="P362">
        <v>0</v>
      </c>
      <c r="Q362">
        <v>0</v>
      </c>
      <c r="S362" t="str">
        <f>"13:53:29.891"</f>
        <v>13:53:29.891</v>
      </c>
      <c r="T362" t="str">
        <f>"13:53:29.491"</f>
        <v>13:53:29.491</v>
      </c>
      <c r="U362" t="str">
        <f t="shared" si="19"/>
        <v>A92BC1</v>
      </c>
      <c r="V362">
        <v>0</v>
      </c>
      <c r="W362">
        <v>0</v>
      </c>
      <c r="X362">
        <v>2</v>
      </c>
      <c r="Z362">
        <v>0</v>
      </c>
      <c r="AA362">
        <v>9</v>
      </c>
      <c r="AB362">
        <v>3</v>
      </c>
      <c r="AC362">
        <v>0</v>
      </c>
      <c r="AD362">
        <v>10</v>
      </c>
      <c r="AE362">
        <v>0</v>
      </c>
      <c r="AF362">
        <v>3</v>
      </c>
      <c r="AG362">
        <v>2</v>
      </c>
      <c r="AH362">
        <v>0</v>
      </c>
      <c r="AI362" t="s">
        <v>462</v>
      </c>
      <c r="AJ362">
        <v>45.712245000000003</v>
      </c>
      <c r="AK362" t="s">
        <v>463</v>
      </c>
      <c r="AL362">
        <v>-89.410922999999997</v>
      </c>
      <c r="AM362">
        <v>100</v>
      </c>
      <c r="AN362">
        <v>7800</v>
      </c>
      <c r="AO362" t="s">
        <v>118</v>
      </c>
      <c r="AP362">
        <v>131</v>
      </c>
      <c r="AQ362">
        <v>105</v>
      </c>
      <c r="AR362">
        <v>1920</v>
      </c>
      <c r="AZ362">
        <v>1200</v>
      </c>
      <c r="BA362">
        <v>1</v>
      </c>
      <c r="BB362" t="str">
        <f t="shared" si="21"/>
        <v xml:space="preserve">N690LS  </v>
      </c>
      <c r="BC362">
        <v>1</v>
      </c>
      <c r="BE362">
        <v>0</v>
      </c>
      <c r="BF362">
        <v>0</v>
      </c>
      <c r="BG362">
        <v>0</v>
      </c>
      <c r="BH362">
        <v>7975</v>
      </c>
      <c r="BI362">
        <v>1</v>
      </c>
      <c r="BJ362">
        <v>1</v>
      </c>
      <c r="BK362">
        <v>1</v>
      </c>
      <c r="BL362">
        <v>0</v>
      </c>
      <c r="BO362">
        <v>0</v>
      </c>
      <c r="BP362">
        <v>0</v>
      </c>
      <c r="BW362" t="str">
        <f>"13:53:29.894"</f>
        <v>13:53:29.894</v>
      </c>
      <c r="CJ362">
        <v>0</v>
      </c>
      <c r="CK362">
        <v>2</v>
      </c>
      <c r="CL362">
        <v>0</v>
      </c>
      <c r="CM362">
        <v>2</v>
      </c>
      <c r="CN362">
        <v>0</v>
      </c>
      <c r="CO362">
        <v>7</v>
      </c>
      <c r="CP362" t="s">
        <v>119</v>
      </c>
      <c r="CQ362">
        <v>197</v>
      </c>
      <c r="CR362">
        <v>1</v>
      </c>
      <c r="CW362">
        <v>7155426</v>
      </c>
      <c r="CY362">
        <v>1</v>
      </c>
      <c r="CZ362">
        <v>0</v>
      </c>
      <c r="DA362">
        <v>1</v>
      </c>
      <c r="DB362">
        <v>0</v>
      </c>
      <c r="DC362">
        <v>0</v>
      </c>
      <c r="DD362">
        <v>0</v>
      </c>
      <c r="DE362">
        <v>0</v>
      </c>
      <c r="DF362">
        <v>0</v>
      </c>
      <c r="DG362">
        <v>0</v>
      </c>
      <c r="DH362">
        <v>0</v>
      </c>
      <c r="DI362">
        <v>0</v>
      </c>
    </row>
    <row r="363" spans="1:113" x14ac:dyDescent="0.3">
      <c r="A363" t="str">
        <f>"09/28/2021 13:53:31.167"</f>
        <v>09/28/2021 13:53:31.167</v>
      </c>
      <c r="C363" t="str">
        <f t="shared" si="20"/>
        <v>FFDFD3C0</v>
      </c>
      <c r="D363" t="s">
        <v>113</v>
      </c>
      <c r="E363">
        <v>7</v>
      </c>
      <c r="H363">
        <v>170</v>
      </c>
      <c r="I363" t="s">
        <v>114</v>
      </c>
      <c r="J363" t="s">
        <v>115</v>
      </c>
      <c r="K363">
        <v>0</v>
      </c>
      <c r="L363">
        <v>3</v>
      </c>
      <c r="M363">
        <v>0</v>
      </c>
      <c r="N363">
        <v>2</v>
      </c>
      <c r="O363">
        <v>1</v>
      </c>
      <c r="P363">
        <v>0</v>
      </c>
      <c r="Q363">
        <v>0</v>
      </c>
      <c r="S363" t="str">
        <f>"13:53:30.906"</f>
        <v>13:53:30.906</v>
      </c>
      <c r="T363" t="str">
        <f>"13:53:30.406"</f>
        <v>13:53:30.406</v>
      </c>
      <c r="U363" t="str">
        <f t="shared" si="19"/>
        <v>A92BC1</v>
      </c>
      <c r="V363">
        <v>0</v>
      </c>
      <c r="W363">
        <v>0</v>
      </c>
      <c r="X363">
        <v>2</v>
      </c>
      <c r="Z363">
        <v>0</v>
      </c>
      <c r="AA363">
        <v>9</v>
      </c>
      <c r="AB363">
        <v>3</v>
      </c>
      <c r="AC363">
        <v>0</v>
      </c>
      <c r="AD363">
        <v>10</v>
      </c>
      <c r="AE363">
        <v>0</v>
      </c>
      <c r="AF363">
        <v>3</v>
      </c>
      <c r="AG363">
        <v>2</v>
      </c>
      <c r="AH363">
        <v>0</v>
      </c>
      <c r="AI363" t="s">
        <v>464</v>
      </c>
      <c r="AJ363">
        <v>45.712758999999998</v>
      </c>
      <c r="AK363" t="s">
        <v>465</v>
      </c>
      <c r="AL363">
        <v>-89.410106999999996</v>
      </c>
      <c r="AM363">
        <v>100</v>
      </c>
      <c r="AN363">
        <v>7800</v>
      </c>
      <c r="AO363" t="s">
        <v>118</v>
      </c>
      <c r="AP363">
        <v>131</v>
      </c>
      <c r="AQ363">
        <v>105</v>
      </c>
      <c r="AR363">
        <v>1920</v>
      </c>
      <c r="AZ363">
        <v>1200</v>
      </c>
      <c r="BA363">
        <v>1</v>
      </c>
      <c r="BB363" t="str">
        <f t="shared" si="21"/>
        <v xml:space="preserve">N690LS  </v>
      </c>
      <c r="BC363">
        <v>1</v>
      </c>
      <c r="BE363">
        <v>0</v>
      </c>
      <c r="BF363">
        <v>0</v>
      </c>
      <c r="BG363">
        <v>0</v>
      </c>
      <c r="BH363">
        <v>8000</v>
      </c>
      <c r="BI363">
        <v>1</v>
      </c>
      <c r="BJ363">
        <v>1</v>
      </c>
      <c r="BK363">
        <v>1</v>
      </c>
      <c r="BL363">
        <v>0</v>
      </c>
      <c r="BO363">
        <v>0</v>
      </c>
      <c r="BP363">
        <v>0</v>
      </c>
      <c r="BW363" t="str">
        <f>"13:53:30.907"</f>
        <v>13:53:30.907</v>
      </c>
      <c r="CJ363">
        <v>0</v>
      </c>
      <c r="CK363">
        <v>2</v>
      </c>
      <c r="CL363">
        <v>0</v>
      </c>
      <c r="CM363">
        <v>2</v>
      </c>
      <c r="CN363">
        <v>0</v>
      </c>
      <c r="CO363">
        <v>7</v>
      </c>
      <c r="CP363" t="s">
        <v>119</v>
      </c>
      <c r="CQ363">
        <v>197</v>
      </c>
      <c r="CR363">
        <v>2</v>
      </c>
      <c r="CW363">
        <v>2251255</v>
      </c>
      <c r="CY363">
        <v>1</v>
      </c>
      <c r="CZ363">
        <v>0</v>
      </c>
      <c r="DA363">
        <v>0</v>
      </c>
      <c r="DB363">
        <v>0</v>
      </c>
      <c r="DC363">
        <v>0</v>
      </c>
      <c r="DD363">
        <v>0</v>
      </c>
      <c r="DE363">
        <v>0</v>
      </c>
      <c r="DF363">
        <v>0</v>
      </c>
      <c r="DG363">
        <v>0</v>
      </c>
      <c r="DH363">
        <v>0</v>
      </c>
      <c r="DI363">
        <v>0</v>
      </c>
    </row>
    <row r="364" spans="1:113" x14ac:dyDescent="0.3">
      <c r="A364" t="str">
        <f>"09/28/2021 13:53:31.167"</f>
        <v>09/28/2021 13:53:31.167</v>
      </c>
      <c r="C364" t="str">
        <f t="shared" si="20"/>
        <v>FFDFD3C0</v>
      </c>
      <c r="D364" t="s">
        <v>120</v>
      </c>
      <c r="E364">
        <v>12</v>
      </c>
      <c r="F364">
        <v>1012</v>
      </c>
      <c r="G364" t="s">
        <v>114</v>
      </c>
      <c r="J364" t="s">
        <v>121</v>
      </c>
      <c r="K364">
        <v>0</v>
      </c>
      <c r="L364">
        <v>3</v>
      </c>
      <c r="M364">
        <v>0</v>
      </c>
      <c r="N364">
        <v>2</v>
      </c>
      <c r="O364">
        <v>1</v>
      </c>
      <c r="P364">
        <v>0</v>
      </c>
      <c r="Q364">
        <v>0</v>
      </c>
      <c r="S364" t="str">
        <f>"13:53:30.906"</f>
        <v>13:53:30.906</v>
      </c>
      <c r="T364" t="str">
        <f>"13:53:30.406"</f>
        <v>13:53:30.406</v>
      </c>
      <c r="U364" t="str">
        <f t="shared" si="19"/>
        <v>A92BC1</v>
      </c>
      <c r="V364">
        <v>0</v>
      </c>
      <c r="W364">
        <v>0</v>
      </c>
      <c r="X364">
        <v>2</v>
      </c>
      <c r="Z364">
        <v>0</v>
      </c>
      <c r="AA364">
        <v>9</v>
      </c>
      <c r="AB364">
        <v>3</v>
      </c>
      <c r="AC364">
        <v>0</v>
      </c>
      <c r="AD364">
        <v>10</v>
      </c>
      <c r="AE364">
        <v>0</v>
      </c>
      <c r="AF364">
        <v>3</v>
      </c>
      <c r="AG364">
        <v>2</v>
      </c>
      <c r="AH364">
        <v>0</v>
      </c>
      <c r="AI364" t="s">
        <v>464</v>
      </c>
      <c r="AJ364">
        <v>45.712758999999998</v>
      </c>
      <c r="AK364" t="s">
        <v>465</v>
      </c>
      <c r="AL364">
        <v>-89.410106999999996</v>
      </c>
      <c r="AM364">
        <v>100</v>
      </c>
      <c r="AN364">
        <v>7800</v>
      </c>
      <c r="AO364" t="s">
        <v>118</v>
      </c>
      <c r="AP364">
        <v>131</v>
      </c>
      <c r="AQ364">
        <v>105</v>
      </c>
      <c r="AR364">
        <v>1920</v>
      </c>
      <c r="AZ364">
        <v>1200</v>
      </c>
      <c r="BA364">
        <v>1</v>
      </c>
      <c r="BB364" t="str">
        <f t="shared" si="21"/>
        <v xml:space="preserve">N690LS  </v>
      </c>
      <c r="BC364">
        <v>1</v>
      </c>
      <c r="BE364">
        <v>0</v>
      </c>
      <c r="BF364">
        <v>0</v>
      </c>
      <c r="BG364">
        <v>0</v>
      </c>
      <c r="BH364">
        <v>8000</v>
      </c>
      <c r="BI364">
        <v>1</v>
      </c>
      <c r="BJ364">
        <v>1</v>
      </c>
      <c r="BK364">
        <v>1</v>
      </c>
      <c r="BL364">
        <v>0</v>
      </c>
      <c r="BO364">
        <v>0</v>
      </c>
      <c r="BP364">
        <v>0</v>
      </c>
      <c r="BW364" t="str">
        <f>"13:53:30.907"</f>
        <v>13:53:30.907</v>
      </c>
      <c r="CJ364">
        <v>0</v>
      </c>
      <c r="CK364">
        <v>2</v>
      </c>
      <c r="CL364">
        <v>0</v>
      </c>
      <c r="CM364">
        <v>2</v>
      </c>
      <c r="CN364">
        <v>0</v>
      </c>
      <c r="CO364">
        <v>7</v>
      </c>
      <c r="CP364" t="s">
        <v>119</v>
      </c>
      <c r="CQ364">
        <v>197</v>
      </c>
      <c r="CR364">
        <v>2</v>
      </c>
      <c r="CW364">
        <v>2251255</v>
      </c>
      <c r="CY364">
        <v>1</v>
      </c>
      <c r="CZ364">
        <v>0</v>
      </c>
      <c r="DA364">
        <v>1</v>
      </c>
      <c r="DB364">
        <v>0</v>
      </c>
      <c r="DC364">
        <v>0</v>
      </c>
      <c r="DD364">
        <v>0</v>
      </c>
      <c r="DE364">
        <v>0</v>
      </c>
      <c r="DF364">
        <v>0</v>
      </c>
      <c r="DG364">
        <v>0</v>
      </c>
      <c r="DH364">
        <v>0</v>
      </c>
      <c r="DI364">
        <v>0</v>
      </c>
    </row>
    <row r="365" spans="1:113" x14ac:dyDescent="0.3">
      <c r="A365" t="str">
        <f>"09/28/2021 13:53:32.150"</f>
        <v>09/28/2021 13:53:32.150</v>
      </c>
      <c r="C365" t="str">
        <f t="shared" si="20"/>
        <v>FFDFD3C0</v>
      </c>
      <c r="D365" t="s">
        <v>113</v>
      </c>
      <c r="E365">
        <v>7</v>
      </c>
      <c r="H365">
        <v>170</v>
      </c>
      <c r="I365" t="s">
        <v>114</v>
      </c>
      <c r="J365" t="s">
        <v>115</v>
      </c>
      <c r="K365">
        <v>0</v>
      </c>
      <c r="L365">
        <v>3</v>
      </c>
      <c r="M365">
        <v>0</v>
      </c>
      <c r="N365">
        <v>2</v>
      </c>
      <c r="O365">
        <v>1</v>
      </c>
      <c r="P365">
        <v>0</v>
      </c>
      <c r="Q365">
        <v>0</v>
      </c>
      <c r="S365" t="str">
        <f>"13:53:31.953"</f>
        <v>13:53:31.953</v>
      </c>
      <c r="T365" t="str">
        <f>"13:53:31.453"</f>
        <v>13:53:31.453</v>
      </c>
      <c r="U365" t="str">
        <f t="shared" si="19"/>
        <v>A92BC1</v>
      </c>
      <c r="V365">
        <v>0</v>
      </c>
      <c r="W365">
        <v>0</v>
      </c>
      <c r="X365">
        <v>2</v>
      </c>
      <c r="Z365">
        <v>0</v>
      </c>
      <c r="AA365">
        <v>9</v>
      </c>
      <c r="AB365">
        <v>3</v>
      </c>
      <c r="AC365">
        <v>0</v>
      </c>
      <c r="AD365">
        <v>10</v>
      </c>
      <c r="AE365">
        <v>0</v>
      </c>
      <c r="AF365">
        <v>3</v>
      </c>
      <c r="AG365">
        <v>2</v>
      </c>
      <c r="AH365">
        <v>0</v>
      </c>
      <c r="AI365" t="s">
        <v>466</v>
      </c>
      <c r="AJ365">
        <v>45.713296</v>
      </c>
      <c r="AK365" t="s">
        <v>467</v>
      </c>
      <c r="AL365">
        <v>-89.409142000000003</v>
      </c>
      <c r="AM365">
        <v>100</v>
      </c>
      <c r="AN365">
        <v>7900</v>
      </c>
      <c r="AO365" t="s">
        <v>118</v>
      </c>
      <c r="AP365">
        <v>131</v>
      </c>
      <c r="AQ365">
        <v>106</v>
      </c>
      <c r="AR365">
        <v>1920</v>
      </c>
      <c r="AZ365">
        <v>1200</v>
      </c>
      <c r="BA365">
        <v>1</v>
      </c>
      <c r="BB365" t="str">
        <f t="shared" si="21"/>
        <v xml:space="preserve">N690LS  </v>
      </c>
      <c r="BC365">
        <v>1</v>
      </c>
      <c r="BE365">
        <v>0</v>
      </c>
      <c r="BF365">
        <v>0</v>
      </c>
      <c r="BG365">
        <v>0</v>
      </c>
      <c r="BH365">
        <v>8025</v>
      </c>
      <c r="BI365">
        <v>1</v>
      </c>
      <c r="BJ365">
        <v>1</v>
      </c>
      <c r="BK365">
        <v>1</v>
      </c>
      <c r="BL365">
        <v>0</v>
      </c>
      <c r="BO365">
        <v>0</v>
      </c>
      <c r="BP365">
        <v>0</v>
      </c>
      <c r="BW365" t="str">
        <f>"13:53:31.955"</f>
        <v>13:53:31.955</v>
      </c>
      <c r="CJ365">
        <v>0</v>
      </c>
      <c r="CK365">
        <v>2</v>
      </c>
      <c r="CL365">
        <v>0</v>
      </c>
      <c r="CM365">
        <v>2</v>
      </c>
      <c r="CN365">
        <v>0</v>
      </c>
      <c r="CO365">
        <v>7</v>
      </c>
      <c r="CP365" t="s">
        <v>119</v>
      </c>
      <c r="CQ365">
        <v>197</v>
      </c>
      <c r="CR365">
        <v>2</v>
      </c>
      <c r="CW365">
        <v>2252191</v>
      </c>
      <c r="CY365">
        <v>1</v>
      </c>
      <c r="CZ365">
        <v>0</v>
      </c>
      <c r="DA365">
        <v>0</v>
      </c>
      <c r="DB365">
        <v>0</v>
      </c>
      <c r="DC365">
        <v>0</v>
      </c>
      <c r="DD365">
        <v>0</v>
      </c>
      <c r="DE365">
        <v>0</v>
      </c>
      <c r="DF365">
        <v>0</v>
      </c>
      <c r="DG365">
        <v>0</v>
      </c>
      <c r="DH365">
        <v>0</v>
      </c>
      <c r="DI365">
        <v>0</v>
      </c>
    </row>
    <row r="366" spans="1:113" x14ac:dyDescent="0.3">
      <c r="A366" t="str">
        <f>"09/28/2021 13:53:32.150"</f>
        <v>09/28/2021 13:53:32.150</v>
      </c>
      <c r="C366" t="str">
        <f t="shared" si="20"/>
        <v>FFDFD3C0</v>
      </c>
      <c r="D366" t="s">
        <v>120</v>
      </c>
      <c r="E366">
        <v>12</v>
      </c>
      <c r="F366">
        <v>1012</v>
      </c>
      <c r="G366" t="s">
        <v>114</v>
      </c>
      <c r="J366" t="s">
        <v>121</v>
      </c>
      <c r="K366">
        <v>0</v>
      </c>
      <c r="L366">
        <v>3</v>
      </c>
      <c r="M366">
        <v>0</v>
      </c>
      <c r="N366">
        <v>2</v>
      </c>
      <c r="O366">
        <v>1</v>
      </c>
      <c r="P366">
        <v>0</v>
      </c>
      <c r="Q366">
        <v>0</v>
      </c>
      <c r="S366" t="str">
        <f>"13:53:31.953"</f>
        <v>13:53:31.953</v>
      </c>
      <c r="T366" t="str">
        <f>"13:53:31.453"</f>
        <v>13:53:31.453</v>
      </c>
      <c r="U366" t="str">
        <f t="shared" si="19"/>
        <v>A92BC1</v>
      </c>
      <c r="V366">
        <v>0</v>
      </c>
      <c r="W366">
        <v>0</v>
      </c>
      <c r="X366">
        <v>2</v>
      </c>
      <c r="Z366">
        <v>0</v>
      </c>
      <c r="AA366">
        <v>9</v>
      </c>
      <c r="AB366">
        <v>3</v>
      </c>
      <c r="AC366">
        <v>0</v>
      </c>
      <c r="AD366">
        <v>10</v>
      </c>
      <c r="AE366">
        <v>0</v>
      </c>
      <c r="AF366">
        <v>3</v>
      </c>
      <c r="AG366">
        <v>2</v>
      </c>
      <c r="AH366">
        <v>0</v>
      </c>
      <c r="AI366" t="s">
        <v>466</v>
      </c>
      <c r="AJ366">
        <v>45.713296</v>
      </c>
      <c r="AK366" t="s">
        <v>467</v>
      </c>
      <c r="AL366">
        <v>-89.409142000000003</v>
      </c>
      <c r="AM366">
        <v>100</v>
      </c>
      <c r="AN366">
        <v>7900</v>
      </c>
      <c r="AO366" t="s">
        <v>118</v>
      </c>
      <c r="AP366">
        <v>131</v>
      </c>
      <c r="AQ366">
        <v>106</v>
      </c>
      <c r="AR366">
        <v>1920</v>
      </c>
      <c r="AZ366">
        <v>1200</v>
      </c>
      <c r="BA366">
        <v>1</v>
      </c>
      <c r="BB366" t="str">
        <f t="shared" si="21"/>
        <v xml:space="preserve">N690LS  </v>
      </c>
      <c r="BC366">
        <v>1</v>
      </c>
      <c r="BE366">
        <v>0</v>
      </c>
      <c r="BF366">
        <v>0</v>
      </c>
      <c r="BG366">
        <v>0</v>
      </c>
      <c r="BH366">
        <v>8025</v>
      </c>
      <c r="BI366">
        <v>1</v>
      </c>
      <c r="BJ366">
        <v>1</v>
      </c>
      <c r="BK366">
        <v>1</v>
      </c>
      <c r="BL366">
        <v>0</v>
      </c>
      <c r="BO366">
        <v>0</v>
      </c>
      <c r="BP366">
        <v>0</v>
      </c>
      <c r="BW366" t="str">
        <f>"13:53:31.955"</f>
        <v>13:53:31.955</v>
      </c>
      <c r="CJ366">
        <v>0</v>
      </c>
      <c r="CK366">
        <v>2</v>
      </c>
      <c r="CL366">
        <v>0</v>
      </c>
      <c r="CM366">
        <v>2</v>
      </c>
      <c r="CN366">
        <v>0</v>
      </c>
      <c r="CO366">
        <v>7</v>
      </c>
      <c r="CP366" t="s">
        <v>119</v>
      </c>
      <c r="CQ366">
        <v>197</v>
      </c>
      <c r="CR366">
        <v>2</v>
      </c>
      <c r="CW366">
        <v>2252191</v>
      </c>
      <c r="CY366">
        <v>1</v>
      </c>
      <c r="CZ366">
        <v>0</v>
      </c>
      <c r="DA366">
        <v>1</v>
      </c>
      <c r="DB366">
        <v>0</v>
      </c>
      <c r="DC366">
        <v>0</v>
      </c>
      <c r="DD366">
        <v>0</v>
      </c>
      <c r="DE366">
        <v>0</v>
      </c>
      <c r="DF366">
        <v>0</v>
      </c>
      <c r="DG366">
        <v>0</v>
      </c>
      <c r="DH366">
        <v>0</v>
      </c>
      <c r="DI366">
        <v>0</v>
      </c>
    </row>
    <row r="367" spans="1:113" x14ac:dyDescent="0.3">
      <c r="A367" t="str">
        <f>"09/28/2021 13:53:33.558"</f>
        <v>09/28/2021 13:53:33.558</v>
      </c>
      <c r="C367" t="str">
        <f t="shared" si="20"/>
        <v>FFDFD3C0</v>
      </c>
      <c r="D367" t="s">
        <v>120</v>
      </c>
      <c r="E367">
        <v>12</v>
      </c>
      <c r="F367">
        <v>1012</v>
      </c>
      <c r="G367" t="s">
        <v>114</v>
      </c>
      <c r="J367" t="s">
        <v>121</v>
      </c>
      <c r="K367">
        <v>0</v>
      </c>
      <c r="L367">
        <v>3</v>
      </c>
      <c r="M367">
        <v>0</v>
      </c>
      <c r="N367">
        <v>2</v>
      </c>
      <c r="O367">
        <v>1</v>
      </c>
      <c r="P367">
        <v>0</v>
      </c>
      <c r="Q367">
        <v>0</v>
      </c>
      <c r="S367" t="str">
        <f>"13:53:33.109"</f>
        <v>13:53:33.109</v>
      </c>
      <c r="T367" t="str">
        <f>"13:53:32.609"</f>
        <v>13:53:32.609</v>
      </c>
      <c r="U367" t="str">
        <f t="shared" si="19"/>
        <v>A92BC1</v>
      </c>
      <c r="V367">
        <v>0</v>
      </c>
      <c r="W367">
        <v>0</v>
      </c>
      <c r="X367">
        <v>2</v>
      </c>
      <c r="Z367">
        <v>0</v>
      </c>
      <c r="AA367">
        <v>9</v>
      </c>
      <c r="AB367">
        <v>3</v>
      </c>
      <c r="AC367">
        <v>0</v>
      </c>
      <c r="AD367">
        <v>10</v>
      </c>
      <c r="AE367">
        <v>0</v>
      </c>
      <c r="AF367">
        <v>3</v>
      </c>
      <c r="AG367">
        <v>2</v>
      </c>
      <c r="AH367">
        <v>0</v>
      </c>
      <c r="AI367" t="s">
        <v>468</v>
      </c>
      <c r="AJ367">
        <v>45.713831999999996</v>
      </c>
      <c r="AK367" t="s">
        <v>469</v>
      </c>
      <c r="AL367">
        <v>-89.408175999999997</v>
      </c>
      <c r="AM367">
        <v>100</v>
      </c>
      <c r="AN367">
        <v>7900</v>
      </c>
      <c r="AO367" t="s">
        <v>118</v>
      </c>
      <c r="AP367">
        <v>131</v>
      </c>
      <c r="AQ367">
        <v>106</v>
      </c>
      <c r="AR367">
        <v>1920</v>
      </c>
      <c r="AZ367">
        <v>1200</v>
      </c>
      <c r="BA367">
        <v>1</v>
      </c>
      <c r="BB367" t="str">
        <f t="shared" si="21"/>
        <v xml:space="preserve">N690LS  </v>
      </c>
      <c r="BC367">
        <v>1</v>
      </c>
      <c r="BE367">
        <v>0</v>
      </c>
      <c r="BF367">
        <v>0</v>
      </c>
      <c r="BG367">
        <v>0</v>
      </c>
      <c r="BH367">
        <v>8075</v>
      </c>
      <c r="BI367">
        <v>1</v>
      </c>
      <c r="BJ367">
        <v>1</v>
      </c>
      <c r="BK367">
        <v>1</v>
      </c>
      <c r="BL367">
        <v>0</v>
      </c>
      <c r="BO367">
        <v>0</v>
      </c>
      <c r="BP367">
        <v>0</v>
      </c>
      <c r="BW367" t="str">
        <f>"13:53:33.110"</f>
        <v>13:53:33.110</v>
      </c>
      <c r="CJ367">
        <v>0</v>
      </c>
      <c r="CK367">
        <v>2</v>
      </c>
      <c r="CL367">
        <v>0</v>
      </c>
      <c r="CM367">
        <v>2</v>
      </c>
      <c r="CN367">
        <v>0</v>
      </c>
      <c r="CO367">
        <v>7</v>
      </c>
      <c r="CP367" t="s">
        <v>119</v>
      </c>
      <c r="CQ367">
        <v>197</v>
      </c>
      <c r="CR367">
        <v>1</v>
      </c>
      <c r="CW367">
        <v>7159150</v>
      </c>
      <c r="CY367">
        <v>1</v>
      </c>
      <c r="CZ367">
        <v>0</v>
      </c>
      <c r="DA367">
        <v>0</v>
      </c>
      <c r="DB367">
        <v>0</v>
      </c>
      <c r="DC367">
        <v>0</v>
      </c>
      <c r="DD367">
        <v>0</v>
      </c>
      <c r="DE367">
        <v>0</v>
      </c>
      <c r="DF367">
        <v>0</v>
      </c>
      <c r="DG367">
        <v>0</v>
      </c>
      <c r="DH367">
        <v>0</v>
      </c>
      <c r="DI367">
        <v>0</v>
      </c>
    </row>
    <row r="368" spans="1:113" x14ac:dyDescent="0.3">
      <c r="A368" t="str">
        <f>"09/28/2021 13:53:33.558"</f>
        <v>09/28/2021 13:53:33.558</v>
      </c>
      <c r="C368" t="str">
        <f t="shared" si="20"/>
        <v>FFDFD3C0</v>
      </c>
      <c r="D368" t="s">
        <v>113</v>
      </c>
      <c r="E368">
        <v>7</v>
      </c>
      <c r="H368">
        <v>170</v>
      </c>
      <c r="I368" t="s">
        <v>114</v>
      </c>
      <c r="J368" t="s">
        <v>115</v>
      </c>
      <c r="K368">
        <v>0</v>
      </c>
      <c r="L368">
        <v>3</v>
      </c>
      <c r="M368">
        <v>0</v>
      </c>
      <c r="N368">
        <v>2</v>
      </c>
      <c r="O368">
        <v>1</v>
      </c>
      <c r="P368">
        <v>0</v>
      </c>
      <c r="Q368">
        <v>0</v>
      </c>
      <c r="S368" t="str">
        <f>"13:53:33.109"</f>
        <v>13:53:33.109</v>
      </c>
      <c r="T368" t="str">
        <f>"13:53:32.609"</f>
        <v>13:53:32.609</v>
      </c>
      <c r="U368" t="str">
        <f t="shared" si="19"/>
        <v>A92BC1</v>
      </c>
      <c r="V368">
        <v>0</v>
      </c>
      <c r="W368">
        <v>0</v>
      </c>
      <c r="X368">
        <v>2</v>
      </c>
      <c r="Z368">
        <v>0</v>
      </c>
      <c r="AA368">
        <v>9</v>
      </c>
      <c r="AB368">
        <v>3</v>
      </c>
      <c r="AC368">
        <v>0</v>
      </c>
      <c r="AD368">
        <v>10</v>
      </c>
      <c r="AE368">
        <v>0</v>
      </c>
      <c r="AF368">
        <v>3</v>
      </c>
      <c r="AG368">
        <v>2</v>
      </c>
      <c r="AH368">
        <v>0</v>
      </c>
      <c r="AI368" t="s">
        <v>468</v>
      </c>
      <c r="AJ368">
        <v>45.713831999999996</v>
      </c>
      <c r="AK368" t="s">
        <v>469</v>
      </c>
      <c r="AL368">
        <v>-89.408175999999997</v>
      </c>
      <c r="AM368">
        <v>100</v>
      </c>
      <c r="AN368">
        <v>7900</v>
      </c>
      <c r="AO368" t="s">
        <v>118</v>
      </c>
      <c r="AP368">
        <v>131</v>
      </c>
      <c r="AQ368">
        <v>106</v>
      </c>
      <c r="AR368">
        <v>1920</v>
      </c>
      <c r="AZ368">
        <v>1200</v>
      </c>
      <c r="BA368">
        <v>1</v>
      </c>
      <c r="BB368" t="str">
        <f t="shared" si="21"/>
        <v xml:space="preserve">N690LS  </v>
      </c>
      <c r="BC368">
        <v>1</v>
      </c>
      <c r="BE368">
        <v>0</v>
      </c>
      <c r="BF368">
        <v>0</v>
      </c>
      <c r="BG368">
        <v>0</v>
      </c>
      <c r="BH368">
        <v>8075</v>
      </c>
      <c r="BI368">
        <v>1</v>
      </c>
      <c r="BJ368">
        <v>1</v>
      </c>
      <c r="BK368">
        <v>1</v>
      </c>
      <c r="BL368">
        <v>0</v>
      </c>
      <c r="BO368">
        <v>0</v>
      </c>
      <c r="BP368">
        <v>0</v>
      </c>
      <c r="BW368" t="str">
        <f>"13:53:33.110"</f>
        <v>13:53:33.110</v>
      </c>
      <c r="CJ368">
        <v>0</v>
      </c>
      <c r="CK368">
        <v>2</v>
      </c>
      <c r="CL368">
        <v>0</v>
      </c>
      <c r="CM368">
        <v>2</v>
      </c>
      <c r="CN368">
        <v>0</v>
      </c>
      <c r="CO368">
        <v>7</v>
      </c>
      <c r="CP368" t="s">
        <v>119</v>
      </c>
      <c r="CQ368">
        <v>197</v>
      </c>
      <c r="CR368">
        <v>1</v>
      </c>
      <c r="CW368">
        <v>7159150</v>
      </c>
      <c r="CY368">
        <v>1</v>
      </c>
      <c r="CZ368">
        <v>0</v>
      </c>
      <c r="DA368">
        <v>1</v>
      </c>
      <c r="DB368">
        <v>0</v>
      </c>
      <c r="DC368">
        <v>0</v>
      </c>
      <c r="DD368">
        <v>0</v>
      </c>
      <c r="DE368">
        <v>0</v>
      </c>
      <c r="DF368">
        <v>0</v>
      </c>
      <c r="DG368">
        <v>0</v>
      </c>
      <c r="DH368">
        <v>0</v>
      </c>
      <c r="DI368">
        <v>0</v>
      </c>
    </row>
    <row r="369" spans="1:113" x14ac:dyDescent="0.3">
      <c r="A369" t="str">
        <f>"09/28/2021 13:53:34.230"</f>
        <v>09/28/2021 13:53:34.230</v>
      </c>
      <c r="C369" t="str">
        <f t="shared" si="20"/>
        <v>FFDFD3C0</v>
      </c>
      <c r="D369" t="s">
        <v>113</v>
      </c>
      <c r="E369">
        <v>7</v>
      </c>
      <c r="H369">
        <v>170</v>
      </c>
      <c r="I369" t="s">
        <v>114</v>
      </c>
      <c r="J369" t="s">
        <v>115</v>
      </c>
      <c r="K369">
        <v>0</v>
      </c>
      <c r="L369">
        <v>3</v>
      </c>
      <c r="M369">
        <v>0</v>
      </c>
      <c r="N369">
        <v>2</v>
      </c>
      <c r="O369">
        <v>1</v>
      </c>
      <c r="P369">
        <v>0</v>
      </c>
      <c r="Q369">
        <v>0</v>
      </c>
      <c r="S369" t="str">
        <f>"13:53:33.992"</f>
        <v>13:53:33.992</v>
      </c>
      <c r="T369" t="str">
        <f>"13:53:33.592"</f>
        <v>13:53:33.592</v>
      </c>
      <c r="U369" t="str">
        <f t="shared" si="19"/>
        <v>A92BC1</v>
      </c>
      <c r="V369">
        <v>0</v>
      </c>
      <c r="W369">
        <v>0</v>
      </c>
      <c r="X369">
        <v>2</v>
      </c>
      <c r="Z369">
        <v>0</v>
      </c>
      <c r="AA369">
        <v>9</v>
      </c>
      <c r="AB369">
        <v>3</v>
      </c>
      <c r="AC369">
        <v>0</v>
      </c>
      <c r="AD369">
        <v>10</v>
      </c>
      <c r="AE369">
        <v>0</v>
      </c>
      <c r="AF369">
        <v>3</v>
      </c>
      <c r="AG369">
        <v>2</v>
      </c>
      <c r="AH369">
        <v>0</v>
      </c>
      <c r="AI369" t="s">
        <v>470</v>
      </c>
      <c r="AJ369">
        <v>45.714239999999997</v>
      </c>
      <c r="AK369" t="s">
        <v>471</v>
      </c>
      <c r="AL369">
        <v>-89.407403000000002</v>
      </c>
      <c r="AM369">
        <v>100</v>
      </c>
      <c r="AN369">
        <v>7900</v>
      </c>
      <c r="AO369" t="s">
        <v>118</v>
      </c>
      <c r="AP369">
        <v>131</v>
      </c>
      <c r="AQ369">
        <v>106</v>
      </c>
      <c r="AR369">
        <v>1920</v>
      </c>
      <c r="AZ369">
        <v>1200</v>
      </c>
      <c r="BA369">
        <v>1</v>
      </c>
      <c r="BB369" t="str">
        <f t="shared" si="21"/>
        <v xml:space="preserve">N690LS  </v>
      </c>
      <c r="BC369">
        <v>1</v>
      </c>
      <c r="BE369">
        <v>0</v>
      </c>
      <c r="BF369">
        <v>0</v>
      </c>
      <c r="BG369">
        <v>0</v>
      </c>
      <c r="BH369">
        <v>8100</v>
      </c>
      <c r="BI369">
        <v>1</v>
      </c>
      <c r="BJ369">
        <v>1</v>
      </c>
      <c r="BK369">
        <v>1</v>
      </c>
      <c r="BL369">
        <v>0</v>
      </c>
      <c r="BO369">
        <v>0</v>
      </c>
      <c r="BP369">
        <v>0</v>
      </c>
      <c r="BW369" t="str">
        <f>"13:53:33.997"</f>
        <v>13:53:33.997</v>
      </c>
      <c r="CJ369">
        <v>0</v>
      </c>
      <c r="CK369">
        <v>2</v>
      </c>
      <c r="CL369">
        <v>0</v>
      </c>
      <c r="CM369">
        <v>2</v>
      </c>
      <c r="CN369">
        <v>0</v>
      </c>
      <c r="CO369">
        <v>6</v>
      </c>
      <c r="CP369" t="s">
        <v>119</v>
      </c>
      <c r="CQ369">
        <v>209</v>
      </c>
      <c r="CR369">
        <v>3</v>
      </c>
      <c r="CW369">
        <v>7169326</v>
      </c>
      <c r="CY369">
        <v>1</v>
      </c>
      <c r="CZ369">
        <v>0</v>
      </c>
      <c r="DA369">
        <v>0</v>
      </c>
      <c r="DB369">
        <v>0</v>
      </c>
      <c r="DC369">
        <v>0</v>
      </c>
      <c r="DD369">
        <v>0</v>
      </c>
      <c r="DE369">
        <v>0</v>
      </c>
      <c r="DF369">
        <v>0</v>
      </c>
      <c r="DG369">
        <v>0</v>
      </c>
      <c r="DH369">
        <v>0</v>
      </c>
      <c r="DI369">
        <v>0</v>
      </c>
    </row>
    <row r="370" spans="1:113" x14ac:dyDescent="0.3">
      <c r="A370" t="str">
        <f>"09/28/2021 13:53:34.230"</f>
        <v>09/28/2021 13:53:34.230</v>
      </c>
      <c r="C370" t="str">
        <f t="shared" si="20"/>
        <v>FFDFD3C0</v>
      </c>
      <c r="D370" t="s">
        <v>120</v>
      </c>
      <c r="E370">
        <v>12</v>
      </c>
      <c r="F370">
        <v>1012</v>
      </c>
      <c r="G370" t="s">
        <v>114</v>
      </c>
      <c r="J370" t="s">
        <v>121</v>
      </c>
      <c r="K370">
        <v>0</v>
      </c>
      <c r="L370">
        <v>3</v>
      </c>
      <c r="M370">
        <v>0</v>
      </c>
      <c r="N370">
        <v>2</v>
      </c>
      <c r="O370">
        <v>1</v>
      </c>
      <c r="P370">
        <v>0</v>
      </c>
      <c r="Q370">
        <v>0</v>
      </c>
      <c r="S370" t="str">
        <f>"13:53:33.992"</f>
        <v>13:53:33.992</v>
      </c>
      <c r="T370" t="str">
        <f>"13:53:33.592"</f>
        <v>13:53:33.592</v>
      </c>
      <c r="U370" t="str">
        <f t="shared" si="19"/>
        <v>A92BC1</v>
      </c>
      <c r="V370">
        <v>0</v>
      </c>
      <c r="W370">
        <v>0</v>
      </c>
      <c r="X370">
        <v>2</v>
      </c>
      <c r="Z370">
        <v>0</v>
      </c>
      <c r="AA370">
        <v>9</v>
      </c>
      <c r="AB370">
        <v>3</v>
      </c>
      <c r="AC370">
        <v>0</v>
      </c>
      <c r="AD370">
        <v>10</v>
      </c>
      <c r="AE370">
        <v>0</v>
      </c>
      <c r="AF370">
        <v>3</v>
      </c>
      <c r="AG370">
        <v>2</v>
      </c>
      <c r="AH370">
        <v>0</v>
      </c>
      <c r="AI370" t="s">
        <v>470</v>
      </c>
      <c r="AJ370">
        <v>45.714239999999997</v>
      </c>
      <c r="AK370" t="s">
        <v>471</v>
      </c>
      <c r="AL370">
        <v>-89.407403000000002</v>
      </c>
      <c r="AM370">
        <v>100</v>
      </c>
      <c r="AN370">
        <v>7900</v>
      </c>
      <c r="AO370" t="s">
        <v>118</v>
      </c>
      <c r="AP370">
        <v>131</v>
      </c>
      <c r="AQ370">
        <v>106</v>
      </c>
      <c r="AR370">
        <v>1920</v>
      </c>
      <c r="AZ370">
        <v>1200</v>
      </c>
      <c r="BA370">
        <v>1</v>
      </c>
      <c r="BB370" t="str">
        <f t="shared" si="21"/>
        <v xml:space="preserve">N690LS  </v>
      </c>
      <c r="BC370">
        <v>1</v>
      </c>
      <c r="BE370">
        <v>0</v>
      </c>
      <c r="BF370">
        <v>0</v>
      </c>
      <c r="BG370">
        <v>0</v>
      </c>
      <c r="BH370">
        <v>8100</v>
      </c>
      <c r="BI370">
        <v>1</v>
      </c>
      <c r="BJ370">
        <v>1</v>
      </c>
      <c r="BK370">
        <v>1</v>
      </c>
      <c r="BL370">
        <v>0</v>
      </c>
      <c r="BO370">
        <v>0</v>
      </c>
      <c r="BP370">
        <v>0</v>
      </c>
      <c r="BW370" t="str">
        <f>"13:53:33.997"</f>
        <v>13:53:33.997</v>
      </c>
      <c r="CJ370">
        <v>0</v>
      </c>
      <c r="CK370">
        <v>2</v>
      </c>
      <c r="CL370">
        <v>0</v>
      </c>
      <c r="CM370">
        <v>2</v>
      </c>
      <c r="CN370">
        <v>0</v>
      </c>
      <c r="CO370">
        <v>6</v>
      </c>
      <c r="CP370" t="s">
        <v>119</v>
      </c>
      <c r="CQ370">
        <v>209</v>
      </c>
      <c r="CR370">
        <v>3</v>
      </c>
      <c r="CW370">
        <v>7169326</v>
      </c>
      <c r="CY370">
        <v>1</v>
      </c>
      <c r="CZ370">
        <v>0</v>
      </c>
      <c r="DA370">
        <v>1</v>
      </c>
      <c r="DB370">
        <v>0</v>
      </c>
      <c r="DC370">
        <v>0</v>
      </c>
      <c r="DD370">
        <v>0</v>
      </c>
      <c r="DE370">
        <v>0</v>
      </c>
      <c r="DF370">
        <v>0</v>
      </c>
      <c r="DG370">
        <v>0</v>
      </c>
      <c r="DH370">
        <v>0</v>
      </c>
      <c r="DI370">
        <v>0</v>
      </c>
    </row>
    <row r="371" spans="1:113" x14ac:dyDescent="0.3">
      <c r="A371" t="str">
        <f>"09/28/2021 13:53:35.480"</f>
        <v>09/28/2021 13:53:35.480</v>
      </c>
      <c r="C371" t="str">
        <f t="shared" si="20"/>
        <v>FFDFD3C0</v>
      </c>
      <c r="D371" t="s">
        <v>113</v>
      </c>
      <c r="E371">
        <v>7</v>
      </c>
      <c r="H371">
        <v>170</v>
      </c>
      <c r="I371" t="s">
        <v>114</v>
      </c>
      <c r="J371" t="s">
        <v>115</v>
      </c>
      <c r="K371">
        <v>0</v>
      </c>
      <c r="L371">
        <v>3</v>
      </c>
      <c r="M371">
        <v>0</v>
      </c>
      <c r="N371">
        <v>2</v>
      </c>
      <c r="O371">
        <v>1</v>
      </c>
      <c r="P371">
        <v>0</v>
      </c>
      <c r="Q371">
        <v>0</v>
      </c>
      <c r="S371" t="str">
        <f>"13:53:35.117"</f>
        <v>13:53:35.117</v>
      </c>
      <c r="T371" t="str">
        <f>"13:53:34.617"</f>
        <v>13:53:34.617</v>
      </c>
      <c r="U371" t="str">
        <f t="shared" si="19"/>
        <v>A92BC1</v>
      </c>
      <c r="V371">
        <v>0</v>
      </c>
      <c r="W371">
        <v>0</v>
      </c>
      <c r="X371">
        <v>2</v>
      </c>
      <c r="Z371">
        <v>0</v>
      </c>
      <c r="AA371">
        <v>9</v>
      </c>
      <c r="AB371">
        <v>3</v>
      </c>
      <c r="AC371">
        <v>0</v>
      </c>
      <c r="AD371">
        <v>10</v>
      </c>
      <c r="AE371">
        <v>0</v>
      </c>
      <c r="AF371">
        <v>3</v>
      </c>
      <c r="AG371">
        <v>2</v>
      </c>
      <c r="AH371">
        <v>0</v>
      </c>
      <c r="AI371" t="s">
        <v>472</v>
      </c>
      <c r="AJ371">
        <v>45.714818999999999</v>
      </c>
      <c r="AK371" t="s">
        <v>473</v>
      </c>
      <c r="AL371">
        <v>-89.406458999999998</v>
      </c>
      <c r="AM371">
        <v>100</v>
      </c>
      <c r="AN371">
        <v>7900</v>
      </c>
      <c r="AO371" t="s">
        <v>118</v>
      </c>
      <c r="AP371">
        <v>131</v>
      </c>
      <c r="AQ371">
        <v>106</v>
      </c>
      <c r="AR371">
        <v>1856</v>
      </c>
      <c r="AZ371">
        <v>1200</v>
      </c>
      <c r="BA371">
        <v>1</v>
      </c>
      <c r="BB371" t="str">
        <f t="shared" si="21"/>
        <v xml:space="preserve">N690LS  </v>
      </c>
      <c r="BC371">
        <v>1</v>
      </c>
      <c r="BE371">
        <v>0</v>
      </c>
      <c r="BF371">
        <v>0</v>
      </c>
      <c r="BG371">
        <v>0</v>
      </c>
      <c r="BH371">
        <v>8125</v>
      </c>
      <c r="BI371">
        <v>1</v>
      </c>
      <c r="BJ371">
        <v>1</v>
      </c>
      <c r="BK371">
        <v>1</v>
      </c>
      <c r="BL371">
        <v>0</v>
      </c>
      <c r="BO371">
        <v>0</v>
      </c>
      <c r="BP371">
        <v>0</v>
      </c>
      <c r="BW371" t="str">
        <f>"13:53:35.118"</f>
        <v>13:53:35.118</v>
      </c>
      <c r="CJ371">
        <v>0</v>
      </c>
      <c r="CK371">
        <v>2</v>
      </c>
      <c r="CL371">
        <v>0</v>
      </c>
      <c r="CM371">
        <v>2</v>
      </c>
      <c r="CN371">
        <v>0</v>
      </c>
      <c r="CO371">
        <v>6</v>
      </c>
      <c r="CP371" t="s">
        <v>119</v>
      </c>
      <c r="CQ371">
        <v>209</v>
      </c>
      <c r="CR371">
        <v>3</v>
      </c>
      <c r="CW371">
        <v>7169631</v>
      </c>
      <c r="CY371">
        <v>1</v>
      </c>
      <c r="CZ371">
        <v>0</v>
      </c>
      <c r="DA371">
        <v>0</v>
      </c>
      <c r="DB371">
        <v>0</v>
      </c>
      <c r="DC371">
        <v>0</v>
      </c>
      <c r="DD371">
        <v>0</v>
      </c>
      <c r="DE371">
        <v>0</v>
      </c>
      <c r="DF371">
        <v>0</v>
      </c>
      <c r="DG371">
        <v>0</v>
      </c>
      <c r="DH371">
        <v>0</v>
      </c>
      <c r="DI371">
        <v>0</v>
      </c>
    </row>
    <row r="372" spans="1:113" x14ac:dyDescent="0.3">
      <c r="A372" t="str">
        <f>"09/28/2021 13:53:35.511"</f>
        <v>09/28/2021 13:53:35.511</v>
      </c>
      <c r="C372" t="str">
        <f t="shared" si="20"/>
        <v>FFDFD3C0</v>
      </c>
      <c r="D372" t="s">
        <v>120</v>
      </c>
      <c r="E372">
        <v>12</v>
      </c>
      <c r="F372">
        <v>1012</v>
      </c>
      <c r="G372" t="s">
        <v>114</v>
      </c>
      <c r="J372" t="s">
        <v>121</v>
      </c>
      <c r="K372">
        <v>0</v>
      </c>
      <c r="L372">
        <v>3</v>
      </c>
      <c r="M372">
        <v>0</v>
      </c>
      <c r="N372">
        <v>2</v>
      </c>
      <c r="O372">
        <v>1</v>
      </c>
      <c r="P372">
        <v>0</v>
      </c>
      <c r="Q372">
        <v>0</v>
      </c>
      <c r="S372" t="str">
        <f>"13:53:35.117"</f>
        <v>13:53:35.117</v>
      </c>
      <c r="T372" t="str">
        <f>"13:53:34.617"</f>
        <v>13:53:34.617</v>
      </c>
      <c r="U372" t="str">
        <f t="shared" si="19"/>
        <v>A92BC1</v>
      </c>
      <c r="V372">
        <v>0</v>
      </c>
      <c r="W372">
        <v>0</v>
      </c>
      <c r="X372">
        <v>2</v>
      </c>
      <c r="Z372">
        <v>0</v>
      </c>
      <c r="AA372">
        <v>9</v>
      </c>
      <c r="AB372">
        <v>3</v>
      </c>
      <c r="AC372">
        <v>0</v>
      </c>
      <c r="AD372">
        <v>10</v>
      </c>
      <c r="AE372">
        <v>0</v>
      </c>
      <c r="AF372">
        <v>3</v>
      </c>
      <c r="AG372">
        <v>2</v>
      </c>
      <c r="AH372">
        <v>0</v>
      </c>
      <c r="AI372" t="s">
        <v>472</v>
      </c>
      <c r="AJ372">
        <v>45.714818999999999</v>
      </c>
      <c r="AK372" t="s">
        <v>473</v>
      </c>
      <c r="AL372">
        <v>-89.406458999999998</v>
      </c>
      <c r="AM372">
        <v>100</v>
      </c>
      <c r="AN372">
        <v>7900</v>
      </c>
      <c r="AO372" t="s">
        <v>118</v>
      </c>
      <c r="AP372">
        <v>131</v>
      </c>
      <c r="AQ372">
        <v>106</v>
      </c>
      <c r="AR372">
        <v>1856</v>
      </c>
      <c r="AZ372">
        <v>1200</v>
      </c>
      <c r="BA372">
        <v>1</v>
      </c>
      <c r="BB372" t="str">
        <f t="shared" si="21"/>
        <v xml:space="preserve">N690LS  </v>
      </c>
      <c r="BC372">
        <v>1</v>
      </c>
      <c r="BE372">
        <v>0</v>
      </c>
      <c r="BF372">
        <v>0</v>
      </c>
      <c r="BG372">
        <v>0</v>
      </c>
      <c r="BH372">
        <v>8125</v>
      </c>
      <c r="BI372">
        <v>1</v>
      </c>
      <c r="BJ372">
        <v>1</v>
      </c>
      <c r="BK372">
        <v>1</v>
      </c>
      <c r="BL372">
        <v>0</v>
      </c>
      <c r="BO372">
        <v>0</v>
      </c>
      <c r="BP372">
        <v>0</v>
      </c>
      <c r="BW372" t="str">
        <f>"13:53:35.118"</f>
        <v>13:53:35.118</v>
      </c>
      <c r="CJ372">
        <v>0</v>
      </c>
      <c r="CK372">
        <v>2</v>
      </c>
      <c r="CL372">
        <v>0</v>
      </c>
      <c r="CM372">
        <v>2</v>
      </c>
      <c r="CN372">
        <v>0</v>
      </c>
      <c r="CO372">
        <v>6</v>
      </c>
      <c r="CP372" t="s">
        <v>119</v>
      </c>
      <c r="CQ372">
        <v>209</v>
      </c>
      <c r="CR372">
        <v>3</v>
      </c>
      <c r="CW372">
        <v>7169631</v>
      </c>
      <c r="CY372">
        <v>1</v>
      </c>
      <c r="CZ372">
        <v>0</v>
      </c>
      <c r="DA372">
        <v>1</v>
      </c>
      <c r="DB372">
        <v>0</v>
      </c>
      <c r="DC372">
        <v>0</v>
      </c>
      <c r="DD372">
        <v>0</v>
      </c>
      <c r="DE372">
        <v>0</v>
      </c>
      <c r="DF372">
        <v>0</v>
      </c>
      <c r="DG372">
        <v>0</v>
      </c>
      <c r="DH372">
        <v>0</v>
      </c>
      <c r="DI372">
        <v>0</v>
      </c>
    </row>
    <row r="373" spans="1:113" x14ac:dyDescent="0.3">
      <c r="A373" t="str">
        <f>"09/28/2021 13:53:36.339"</f>
        <v>09/28/2021 13:53:36.339</v>
      </c>
      <c r="C373" t="str">
        <f t="shared" si="20"/>
        <v>FFDFD3C0</v>
      </c>
      <c r="D373" t="s">
        <v>120</v>
      </c>
      <c r="E373">
        <v>12</v>
      </c>
      <c r="F373">
        <v>1012</v>
      </c>
      <c r="G373" t="s">
        <v>114</v>
      </c>
      <c r="J373" t="s">
        <v>121</v>
      </c>
      <c r="K373">
        <v>0</v>
      </c>
      <c r="L373">
        <v>3</v>
      </c>
      <c r="M373">
        <v>0</v>
      </c>
      <c r="N373">
        <v>2</v>
      </c>
      <c r="O373">
        <v>1</v>
      </c>
      <c r="P373">
        <v>0</v>
      </c>
      <c r="Q373">
        <v>0</v>
      </c>
      <c r="S373" t="str">
        <f>"13:53:36.023"</f>
        <v>13:53:36.023</v>
      </c>
      <c r="T373" t="str">
        <f>"13:53:35.623"</f>
        <v>13:53:35.623</v>
      </c>
      <c r="U373" t="str">
        <f t="shared" si="19"/>
        <v>A92BC1</v>
      </c>
      <c r="V373">
        <v>0</v>
      </c>
      <c r="W373">
        <v>0</v>
      </c>
      <c r="X373">
        <v>2</v>
      </c>
      <c r="Z373">
        <v>0</v>
      </c>
      <c r="AA373">
        <v>9</v>
      </c>
      <c r="AB373">
        <v>3</v>
      </c>
      <c r="AC373">
        <v>0</v>
      </c>
      <c r="AD373">
        <v>10</v>
      </c>
      <c r="AE373">
        <v>0</v>
      </c>
      <c r="AF373">
        <v>3</v>
      </c>
      <c r="AG373">
        <v>2</v>
      </c>
      <c r="AH373">
        <v>0</v>
      </c>
      <c r="AI373" t="s">
        <v>474</v>
      </c>
      <c r="AJ373">
        <v>45.715269999999997</v>
      </c>
      <c r="AK373" t="s">
        <v>475</v>
      </c>
      <c r="AL373">
        <v>-89.40558</v>
      </c>
      <c r="AM373">
        <v>100</v>
      </c>
      <c r="AN373">
        <v>8000</v>
      </c>
      <c r="AO373" t="s">
        <v>118</v>
      </c>
      <c r="AP373">
        <v>131</v>
      </c>
      <c r="AQ373">
        <v>107</v>
      </c>
      <c r="AR373">
        <v>1856</v>
      </c>
      <c r="AZ373">
        <v>1200</v>
      </c>
      <c r="BA373">
        <v>1</v>
      </c>
      <c r="BB373" t="str">
        <f t="shared" si="21"/>
        <v xml:space="preserve">N690LS  </v>
      </c>
      <c r="BC373">
        <v>1</v>
      </c>
      <c r="BE373">
        <v>0</v>
      </c>
      <c r="BF373">
        <v>0</v>
      </c>
      <c r="BG373">
        <v>0</v>
      </c>
      <c r="BH373">
        <v>8150</v>
      </c>
      <c r="BI373">
        <v>1</v>
      </c>
      <c r="BJ373">
        <v>1</v>
      </c>
      <c r="BK373">
        <v>1</v>
      </c>
      <c r="BL373">
        <v>0</v>
      </c>
      <c r="BO373">
        <v>0</v>
      </c>
      <c r="BP373">
        <v>0</v>
      </c>
      <c r="BW373" t="str">
        <f>"13:53:36.024"</f>
        <v>13:53:36.024</v>
      </c>
      <c r="CJ373">
        <v>0</v>
      </c>
      <c r="CK373">
        <v>2</v>
      </c>
      <c r="CL373">
        <v>0</v>
      </c>
      <c r="CM373">
        <v>2</v>
      </c>
      <c r="CN373">
        <v>0</v>
      </c>
      <c r="CO373">
        <v>6</v>
      </c>
      <c r="CP373" t="s">
        <v>119</v>
      </c>
      <c r="CQ373">
        <v>209</v>
      </c>
      <c r="CR373">
        <v>3</v>
      </c>
      <c r="CW373">
        <v>7169912</v>
      </c>
      <c r="CY373">
        <v>1</v>
      </c>
      <c r="CZ373">
        <v>0</v>
      </c>
      <c r="DA373">
        <v>0</v>
      </c>
      <c r="DB373">
        <v>0</v>
      </c>
      <c r="DC373">
        <v>0</v>
      </c>
      <c r="DD373">
        <v>0</v>
      </c>
      <c r="DE373">
        <v>0</v>
      </c>
      <c r="DF373">
        <v>0</v>
      </c>
      <c r="DG373">
        <v>0</v>
      </c>
      <c r="DH373">
        <v>0</v>
      </c>
      <c r="DI373">
        <v>0</v>
      </c>
    </row>
    <row r="374" spans="1:113" x14ac:dyDescent="0.3">
      <c r="A374" t="str">
        <f>"09/28/2021 13:53:36.339"</f>
        <v>09/28/2021 13:53:36.339</v>
      </c>
      <c r="C374" t="str">
        <f t="shared" si="20"/>
        <v>FFDFD3C0</v>
      </c>
      <c r="D374" t="s">
        <v>113</v>
      </c>
      <c r="E374">
        <v>7</v>
      </c>
      <c r="H374">
        <v>170</v>
      </c>
      <c r="I374" t="s">
        <v>114</v>
      </c>
      <c r="J374" t="s">
        <v>115</v>
      </c>
      <c r="K374">
        <v>0</v>
      </c>
      <c r="L374">
        <v>3</v>
      </c>
      <c r="M374">
        <v>0</v>
      </c>
      <c r="N374">
        <v>2</v>
      </c>
      <c r="O374">
        <v>1</v>
      </c>
      <c r="P374">
        <v>0</v>
      </c>
      <c r="Q374">
        <v>0</v>
      </c>
      <c r="S374" t="str">
        <f>"13:53:36.023"</f>
        <v>13:53:36.023</v>
      </c>
      <c r="T374" t="str">
        <f>"13:53:35.623"</f>
        <v>13:53:35.623</v>
      </c>
      <c r="U374" t="str">
        <f t="shared" si="19"/>
        <v>A92BC1</v>
      </c>
      <c r="V374">
        <v>0</v>
      </c>
      <c r="W374">
        <v>0</v>
      </c>
      <c r="X374">
        <v>2</v>
      </c>
      <c r="Z374">
        <v>0</v>
      </c>
      <c r="AA374">
        <v>9</v>
      </c>
      <c r="AB374">
        <v>3</v>
      </c>
      <c r="AC374">
        <v>0</v>
      </c>
      <c r="AD374">
        <v>10</v>
      </c>
      <c r="AE374">
        <v>0</v>
      </c>
      <c r="AF374">
        <v>3</v>
      </c>
      <c r="AG374">
        <v>2</v>
      </c>
      <c r="AH374">
        <v>0</v>
      </c>
      <c r="AI374" t="s">
        <v>474</v>
      </c>
      <c r="AJ374">
        <v>45.715269999999997</v>
      </c>
      <c r="AK374" t="s">
        <v>475</v>
      </c>
      <c r="AL374">
        <v>-89.40558</v>
      </c>
      <c r="AM374">
        <v>100</v>
      </c>
      <c r="AN374">
        <v>8000</v>
      </c>
      <c r="AO374" t="s">
        <v>118</v>
      </c>
      <c r="AP374">
        <v>131</v>
      </c>
      <c r="AQ374">
        <v>107</v>
      </c>
      <c r="AR374">
        <v>1856</v>
      </c>
      <c r="AZ374">
        <v>1200</v>
      </c>
      <c r="BA374">
        <v>1</v>
      </c>
      <c r="BB374" t="str">
        <f t="shared" si="21"/>
        <v xml:space="preserve">N690LS  </v>
      </c>
      <c r="BC374">
        <v>1</v>
      </c>
      <c r="BE374">
        <v>0</v>
      </c>
      <c r="BF374">
        <v>0</v>
      </c>
      <c r="BG374">
        <v>0</v>
      </c>
      <c r="BH374">
        <v>8150</v>
      </c>
      <c r="BI374">
        <v>1</v>
      </c>
      <c r="BJ374">
        <v>1</v>
      </c>
      <c r="BK374">
        <v>1</v>
      </c>
      <c r="BL374">
        <v>0</v>
      </c>
      <c r="BO374">
        <v>0</v>
      </c>
      <c r="BP374">
        <v>0</v>
      </c>
      <c r="BW374" t="str">
        <f>"13:53:36.024"</f>
        <v>13:53:36.024</v>
      </c>
      <c r="CJ374">
        <v>0</v>
      </c>
      <c r="CK374">
        <v>2</v>
      </c>
      <c r="CL374">
        <v>0</v>
      </c>
      <c r="CM374">
        <v>2</v>
      </c>
      <c r="CN374">
        <v>0</v>
      </c>
      <c r="CO374">
        <v>6</v>
      </c>
      <c r="CP374" t="s">
        <v>119</v>
      </c>
      <c r="CQ374">
        <v>209</v>
      </c>
      <c r="CR374">
        <v>3</v>
      </c>
      <c r="CW374">
        <v>7169912</v>
      </c>
      <c r="CY374">
        <v>1</v>
      </c>
      <c r="CZ374">
        <v>0</v>
      </c>
      <c r="DA374">
        <v>1</v>
      </c>
      <c r="DB374">
        <v>0</v>
      </c>
      <c r="DC374">
        <v>0</v>
      </c>
      <c r="DD374">
        <v>0</v>
      </c>
      <c r="DE374">
        <v>0</v>
      </c>
      <c r="DF374">
        <v>0</v>
      </c>
      <c r="DG374">
        <v>0</v>
      </c>
      <c r="DH374">
        <v>0</v>
      </c>
      <c r="DI374">
        <v>0</v>
      </c>
    </row>
    <row r="375" spans="1:113" x14ac:dyDescent="0.3">
      <c r="A375" t="str">
        <f>"09/28/2021 13:53:37.275"</f>
        <v>09/28/2021 13:53:37.275</v>
      </c>
      <c r="C375" t="str">
        <f t="shared" si="20"/>
        <v>FFDFD3C0</v>
      </c>
      <c r="D375" t="s">
        <v>113</v>
      </c>
      <c r="E375">
        <v>7</v>
      </c>
      <c r="H375">
        <v>170</v>
      </c>
      <c r="I375" t="s">
        <v>114</v>
      </c>
      <c r="J375" t="s">
        <v>115</v>
      </c>
      <c r="K375">
        <v>0</v>
      </c>
      <c r="L375">
        <v>3</v>
      </c>
      <c r="M375">
        <v>0</v>
      </c>
      <c r="N375">
        <v>2</v>
      </c>
      <c r="O375">
        <v>1</v>
      </c>
      <c r="P375">
        <v>0</v>
      </c>
      <c r="Q375">
        <v>0</v>
      </c>
      <c r="S375" t="str">
        <f>"13:53:37.055"</f>
        <v>13:53:37.055</v>
      </c>
      <c r="T375" t="str">
        <f>"13:53:36.555"</f>
        <v>13:53:36.555</v>
      </c>
      <c r="U375" t="str">
        <f t="shared" si="19"/>
        <v>A92BC1</v>
      </c>
      <c r="V375">
        <v>0</v>
      </c>
      <c r="W375">
        <v>0</v>
      </c>
      <c r="X375">
        <v>2</v>
      </c>
      <c r="Z375">
        <v>0</v>
      </c>
      <c r="AA375">
        <v>9</v>
      </c>
      <c r="AB375">
        <v>3</v>
      </c>
      <c r="AC375">
        <v>0</v>
      </c>
      <c r="AD375">
        <v>10</v>
      </c>
      <c r="AE375">
        <v>0</v>
      </c>
      <c r="AF375">
        <v>3</v>
      </c>
      <c r="AG375">
        <v>2</v>
      </c>
      <c r="AH375">
        <v>0</v>
      </c>
      <c r="AI375" t="s">
        <v>476</v>
      </c>
      <c r="AJ375">
        <v>45.715784999999997</v>
      </c>
      <c r="AK375" t="s">
        <v>477</v>
      </c>
      <c r="AL375">
        <v>-89.404742999999996</v>
      </c>
      <c r="AM375">
        <v>100</v>
      </c>
      <c r="AN375">
        <v>8000</v>
      </c>
      <c r="AO375" t="s">
        <v>118</v>
      </c>
      <c r="AP375">
        <v>131</v>
      </c>
      <c r="AQ375">
        <v>107</v>
      </c>
      <c r="AR375">
        <v>1856</v>
      </c>
      <c r="AZ375">
        <v>1200</v>
      </c>
      <c r="BA375">
        <v>1</v>
      </c>
      <c r="BB375" t="str">
        <f t="shared" si="21"/>
        <v xml:space="preserve">N690LS  </v>
      </c>
      <c r="BC375">
        <v>1</v>
      </c>
      <c r="BE375">
        <v>0</v>
      </c>
      <c r="BF375">
        <v>0</v>
      </c>
      <c r="BG375">
        <v>0</v>
      </c>
      <c r="BH375">
        <v>8200</v>
      </c>
      <c r="BI375">
        <v>1</v>
      </c>
      <c r="BJ375">
        <v>1</v>
      </c>
      <c r="BK375">
        <v>1</v>
      </c>
      <c r="BL375">
        <v>0</v>
      </c>
      <c r="BO375">
        <v>0</v>
      </c>
      <c r="BP375">
        <v>0</v>
      </c>
      <c r="BW375" t="str">
        <f>"13:53:37.059"</f>
        <v>13:53:37.059</v>
      </c>
      <c r="CJ375">
        <v>0</v>
      </c>
      <c r="CK375">
        <v>2</v>
      </c>
      <c r="CL375">
        <v>0</v>
      </c>
      <c r="CM375">
        <v>2</v>
      </c>
      <c r="CN375">
        <v>0</v>
      </c>
      <c r="CO375">
        <v>5</v>
      </c>
      <c r="CP375" t="s">
        <v>119</v>
      </c>
      <c r="CQ375">
        <v>209</v>
      </c>
      <c r="CR375">
        <v>2</v>
      </c>
      <c r="CW375">
        <v>11654010</v>
      </c>
      <c r="CY375">
        <v>1</v>
      </c>
      <c r="CZ375">
        <v>0</v>
      </c>
      <c r="DA375">
        <v>0</v>
      </c>
      <c r="DB375">
        <v>0</v>
      </c>
      <c r="DC375">
        <v>0</v>
      </c>
      <c r="DD375">
        <v>0</v>
      </c>
      <c r="DE375">
        <v>0</v>
      </c>
      <c r="DF375">
        <v>0</v>
      </c>
      <c r="DG375">
        <v>0</v>
      </c>
      <c r="DH375">
        <v>0</v>
      </c>
      <c r="DI375">
        <v>0</v>
      </c>
    </row>
    <row r="376" spans="1:113" x14ac:dyDescent="0.3">
      <c r="A376" t="str">
        <f>"09/28/2021 13:53:37.275"</f>
        <v>09/28/2021 13:53:37.275</v>
      </c>
      <c r="C376" t="str">
        <f t="shared" si="20"/>
        <v>FFDFD3C0</v>
      </c>
      <c r="D376" t="s">
        <v>120</v>
      </c>
      <c r="E376">
        <v>12</v>
      </c>
      <c r="F376">
        <v>1012</v>
      </c>
      <c r="G376" t="s">
        <v>114</v>
      </c>
      <c r="J376" t="s">
        <v>121</v>
      </c>
      <c r="K376">
        <v>0</v>
      </c>
      <c r="L376">
        <v>3</v>
      </c>
      <c r="M376">
        <v>0</v>
      </c>
      <c r="N376">
        <v>2</v>
      </c>
      <c r="O376">
        <v>1</v>
      </c>
      <c r="P376">
        <v>0</v>
      </c>
      <c r="Q376">
        <v>0</v>
      </c>
      <c r="S376" t="str">
        <f>"13:53:37.055"</f>
        <v>13:53:37.055</v>
      </c>
      <c r="T376" t="str">
        <f>"13:53:36.555"</f>
        <v>13:53:36.555</v>
      </c>
      <c r="U376" t="str">
        <f t="shared" si="19"/>
        <v>A92BC1</v>
      </c>
      <c r="V376">
        <v>0</v>
      </c>
      <c r="W376">
        <v>0</v>
      </c>
      <c r="X376">
        <v>2</v>
      </c>
      <c r="Z376">
        <v>0</v>
      </c>
      <c r="AA376">
        <v>9</v>
      </c>
      <c r="AB376">
        <v>3</v>
      </c>
      <c r="AC376">
        <v>0</v>
      </c>
      <c r="AD376">
        <v>10</v>
      </c>
      <c r="AE376">
        <v>0</v>
      </c>
      <c r="AF376">
        <v>3</v>
      </c>
      <c r="AG376">
        <v>2</v>
      </c>
      <c r="AH376">
        <v>0</v>
      </c>
      <c r="AI376" t="s">
        <v>476</v>
      </c>
      <c r="AJ376">
        <v>45.715784999999997</v>
      </c>
      <c r="AK376" t="s">
        <v>477</v>
      </c>
      <c r="AL376">
        <v>-89.404742999999996</v>
      </c>
      <c r="AM376">
        <v>100</v>
      </c>
      <c r="AN376">
        <v>8000</v>
      </c>
      <c r="AO376" t="s">
        <v>118</v>
      </c>
      <c r="AP376">
        <v>131</v>
      </c>
      <c r="AQ376">
        <v>107</v>
      </c>
      <c r="AR376">
        <v>1856</v>
      </c>
      <c r="AZ376">
        <v>1200</v>
      </c>
      <c r="BA376">
        <v>1</v>
      </c>
      <c r="BB376" t="str">
        <f t="shared" si="21"/>
        <v xml:space="preserve">N690LS  </v>
      </c>
      <c r="BC376">
        <v>1</v>
      </c>
      <c r="BE376">
        <v>0</v>
      </c>
      <c r="BF376">
        <v>0</v>
      </c>
      <c r="BG376">
        <v>0</v>
      </c>
      <c r="BH376">
        <v>8200</v>
      </c>
      <c r="BI376">
        <v>1</v>
      </c>
      <c r="BJ376">
        <v>1</v>
      </c>
      <c r="BK376">
        <v>1</v>
      </c>
      <c r="BL376">
        <v>0</v>
      </c>
      <c r="BO376">
        <v>0</v>
      </c>
      <c r="BP376">
        <v>0</v>
      </c>
      <c r="BW376" t="str">
        <f>"13:53:37.059"</f>
        <v>13:53:37.059</v>
      </c>
      <c r="CJ376">
        <v>0</v>
      </c>
      <c r="CK376">
        <v>2</v>
      </c>
      <c r="CL376">
        <v>0</v>
      </c>
      <c r="CM376">
        <v>2</v>
      </c>
      <c r="CN376">
        <v>0</v>
      </c>
      <c r="CO376">
        <v>5</v>
      </c>
      <c r="CP376" t="s">
        <v>119</v>
      </c>
      <c r="CQ376">
        <v>209</v>
      </c>
      <c r="CR376">
        <v>2</v>
      </c>
      <c r="CW376">
        <v>11654010</v>
      </c>
      <c r="CY376">
        <v>1</v>
      </c>
      <c r="CZ376">
        <v>0</v>
      </c>
      <c r="DA376">
        <v>1</v>
      </c>
      <c r="DB376">
        <v>0</v>
      </c>
      <c r="DC376">
        <v>0</v>
      </c>
      <c r="DD376">
        <v>0</v>
      </c>
      <c r="DE376">
        <v>0</v>
      </c>
      <c r="DF376">
        <v>0</v>
      </c>
      <c r="DG376">
        <v>0</v>
      </c>
      <c r="DH376">
        <v>0</v>
      </c>
      <c r="DI376">
        <v>0</v>
      </c>
    </row>
    <row r="377" spans="1:113" x14ac:dyDescent="0.3">
      <c r="A377" t="str">
        <f>"09/28/2021 13:53:38.197"</f>
        <v>09/28/2021 13:53:38.197</v>
      </c>
      <c r="C377" t="str">
        <f t="shared" si="20"/>
        <v>FFDFD3C0</v>
      </c>
      <c r="D377" t="s">
        <v>113</v>
      </c>
      <c r="E377">
        <v>7</v>
      </c>
      <c r="H377">
        <v>170</v>
      </c>
      <c r="I377" t="s">
        <v>114</v>
      </c>
      <c r="J377" t="s">
        <v>115</v>
      </c>
      <c r="K377">
        <v>0</v>
      </c>
      <c r="L377">
        <v>3</v>
      </c>
      <c r="M377">
        <v>0</v>
      </c>
      <c r="N377">
        <v>2</v>
      </c>
      <c r="O377">
        <v>1</v>
      </c>
      <c r="P377">
        <v>0</v>
      </c>
      <c r="Q377">
        <v>0</v>
      </c>
      <c r="S377" t="str">
        <f>"13:53:37.992"</f>
        <v>13:53:37.992</v>
      </c>
      <c r="T377" t="str">
        <f>"13:53:37.692"</f>
        <v>13:53:37.692</v>
      </c>
      <c r="U377" t="str">
        <f t="shared" si="19"/>
        <v>A92BC1</v>
      </c>
      <c r="V377">
        <v>0</v>
      </c>
      <c r="W377">
        <v>0</v>
      </c>
      <c r="X377">
        <v>2</v>
      </c>
      <c r="Z377">
        <v>0</v>
      </c>
      <c r="AA377">
        <v>9</v>
      </c>
      <c r="AB377">
        <v>3</v>
      </c>
      <c r="AC377">
        <v>0</v>
      </c>
      <c r="AD377">
        <v>10</v>
      </c>
      <c r="AE377">
        <v>0</v>
      </c>
      <c r="AF377">
        <v>3</v>
      </c>
      <c r="AG377">
        <v>2</v>
      </c>
      <c r="AH377">
        <v>0</v>
      </c>
      <c r="AI377" t="s">
        <v>478</v>
      </c>
      <c r="AJ377">
        <v>45.716214000000001</v>
      </c>
      <c r="AK377" t="s">
        <v>479</v>
      </c>
      <c r="AL377">
        <v>-89.403992000000002</v>
      </c>
      <c r="AM377">
        <v>100</v>
      </c>
      <c r="AN377">
        <v>8000</v>
      </c>
      <c r="AO377" t="s">
        <v>118</v>
      </c>
      <c r="AP377">
        <v>131</v>
      </c>
      <c r="AQ377">
        <v>107</v>
      </c>
      <c r="AR377">
        <v>1856</v>
      </c>
      <c r="AZ377">
        <v>1200</v>
      </c>
      <c r="BA377">
        <v>1</v>
      </c>
      <c r="BB377" t="str">
        <f t="shared" si="21"/>
        <v xml:space="preserve">N690LS  </v>
      </c>
      <c r="BC377">
        <v>1</v>
      </c>
      <c r="BE377">
        <v>0</v>
      </c>
      <c r="BF377">
        <v>0</v>
      </c>
      <c r="BG377">
        <v>0</v>
      </c>
      <c r="BH377">
        <v>8225</v>
      </c>
      <c r="BI377">
        <v>1</v>
      </c>
      <c r="BJ377">
        <v>1</v>
      </c>
      <c r="BK377">
        <v>1</v>
      </c>
      <c r="BL377">
        <v>0</v>
      </c>
      <c r="BO377">
        <v>0</v>
      </c>
      <c r="BP377">
        <v>0</v>
      </c>
      <c r="BW377" t="str">
        <f>"13:53:37.996"</f>
        <v>13:53:37.996</v>
      </c>
      <c r="CJ377">
        <v>0</v>
      </c>
      <c r="CK377">
        <v>2</v>
      </c>
      <c r="CL377">
        <v>0</v>
      </c>
      <c r="CM377">
        <v>2</v>
      </c>
      <c r="CN377">
        <v>0</v>
      </c>
      <c r="CO377">
        <v>6</v>
      </c>
      <c r="CP377" t="s">
        <v>119</v>
      </c>
      <c r="CQ377">
        <v>209</v>
      </c>
      <c r="CR377">
        <v>3</v>
      </c>
      <c r="CW377">
        <v>7170488</v>
      </c>
      <c r="CY377">
        <v>1</v>
      </c>
      <c r="CZ377">
        <v>0</v>
      </c>
      <c r="DA377">
        <v>0</v>
      </c>
      <c r="DB377">
        <v>0</v>
      </c>
      <c r="DC377">
        <v>0</v>
      </c>
      <c r="DD377">
        <v>0</v>
      </c>
      <c r="DE377">
        <v>0</v>
      </c>
      <c r="DF377">
        <v>0</v>
      </c>
      <c r="DG377">
        <v>0</v>
      </c>
      <c r="DH377">
        <v>0</v>
      </c>
      <c r="DI377">
        <v>0</v>
      </c>
    </row>
    <row r="378" spans="1:113" x14ac:dyDescent="0.3">
      <c r="A378" t="str">
        <f>"09/28/2021 13:53:38.197"</f>
        <v>09/28/2021 13:53:38.197</v>
      </c>
      <c r="C378" t="str">
        <f t="shared" si="20"/>
        <v>FFDFD3C0</v>
      </c>
      <c r="D378" t="s">
        <v>120</v>
      </c>
      <c r="E378">
        <v>12</v>
      </c>
      <c r="F378">
        <v>1012</v>
      </c>
      <c r="G378" t="s">
        <v>114</v>
      </c>
      <c r="J378" t="s">
        <v>121</v>
      </c>
      <c r="K378">
        <v>0</v>
      </c>
      <c r="L378">
        <v>3</v>
      </c>
      <c r="M378">
        <v>0</v>
      </c>
      <c r="N378">
        <v>2</v>
      </c>
      <c r="O378">
        <v>1</v>
      </c>
      <c r="P378">
        <v>0</v>
      </c>
      <c r="Q378">
        <v>0</v>
      </c>
      <c r="S378" t="str">
        <f>"13:53:37.992"</f>
        <v>13:53:37.992</v>
      </c>
      <c r="T378" t="str">
        <f>"13:53:37.692"</f>
        <v>13:53:37.692</v>
      </c>
      <c r="U378" t="str">
        <f t="shared" si="19"/>
        <v>A92BC1</v>
      </c>
      <c r="V378">
        <v>0</v>
      </c>
      <c r="W378">
        <v>0</v>
      </c>
      <c r="X378">
        <v>2</v>
      </c>
      <c r="Z378">
        <v>0</v>
      </c>
      <c r="AA378">
        <v>9</v>
      </c>
      <c r="AB378">
        <v>3</v>
      </c>
      <c r="AC378">
        <v>0</v>
      </c>
      <c r="AD378">
        <v>10</v>
      </c>
      <c r="AE378">
        <v>0</v>
      </c>
      <c r="AF378">
        <v>3</v>
      </c>
      <c r="AG378">
        <v>2</v>
      </c>
      <c r="AH378">
        <v>0</v>
      </c>
      <c r="AI378" t="s">
        <v>478</v>
      </c>
      <c r="AJ378">
        <v>45.716214000000001</v>
      </c>
      <c r="AK378" t="s">
        <v>479</v>
      </c>
      <c r="AL378">
        <v>-89.403992000000002</v>
      </c>
      <c r="AM378">
        <v>100</v>
      </c>
      <c r="AN378">
        <v>8000</v>
      </c>
      <c r="AO378" t="s">
        <v>118</v>
      </c>
      <c r="AP378">
        <v>131</v>
      </c>
      <c r="AQ378">
        <v>107</v>
      </c>
      <c r="AR378">
        <v>1856</v>
      </c>
      <c r="AZ378">
        <v>1200</v>
      </c>
      <c r="BA378">
        <v>1</v>
      </c>
      <c r="BB378" t="str">
        <f t="shared" si="21"/>
        <v xml:space="preserve">N690LS  </v>
      </c>
      <c r="BC378">
        <v>1</v>
      </c>
      <c r="BE378">
        <v>0</v>
      </c>
      <c r="BF378">
        <v>0</v>
      </c>
      <c r="BG378">
        <v>0</v>
      </c>
      <c r="BH378">
        <v>8225</v>
      </c>
      <c r="BI378">
        <v>1</v>
      </c>
      <c r="BJ378">
        <v>1</v>
      </c>
      <c r="BK378">
        <v>1</v>
      </c>
      <c r="BL378">
        <v>0</v>
      </c>
      <c r="BO378">
        <v>0</v>
      </c>
      <c r="BP378">
        <v>0</v>
      </c>
      <c r="BW378" t="str">
        <f>"13:53:37.996"</f>
        <v>13:53:37.996</v>
      </c>
      <c r="CJ378">
        <v>0</v>
      </c>
      <c r="CK378">
        <v>2</v>
      </c>
      <c r="CL378">
        <v>0</v>
      </c>
      <c r="CM378">
        <v>2</v>
      </c>
      <c r="CN378">
        <v>0</v>
      </c>
      <c r="CO378">
        <v>6</v>
      </c>
      <c r="CP378" t="s">
        <v>119</v>
      </c>
      <c r="CQ378">
        <v>209</v>
      </c>
      <c r="CR378">
        <v>3</v>
      </c>
      <c r="CW378">
        <v>7170488</v>
      </c>
      <c r="CY378">
        <v>1</v>
      </c>
      <c r="CZ378">
        <v>0</v>
      </c>
      <c r="DA378">
        <v>1</v>
      </c>
      <c r="DB378">
        <v>0</v>
      </c>
      <c r="DC378">
        <v>0</v>
      </c>
      <c r="DD378">
        <v>0</v>
      </c>
      <c r="DE378">
        <v>0</v>
      </c>
      <c r="DF378">
        <v>0</v>
      </c>
      <c r="DG378">
        <v>0</v>
      </c>
      <c r="DH378">
        <v>0</v>
      </c>
      <c r="DI378">
        <v>0</v>
      </c>
    </row>
    <row r="379" spans="1:113" x14ac:dyDescent="0.3">
      <c r="A379" t="str">
        <f>"09/28/2021 13:53:39.167"</f>
        <v>09/28/2021 13:53:39.167</v>
      </c>
      <c r="C379" t="str">
        <f t="shared" si="20"/>
        <v>FFDFD3C0</v>
      </c>
      <c r="D379" t="s">
        <v>120</v>
      </c>
      <c r="E379">
        <v>12</v>
      </c>
      <c r="F379">
        <v>1012</v>
      </c>
      <c r="G379" t="s">
        <v>114</v>
      </c>
      <c r="J379" t="s">
        <v>121</v>
      </c>
      <c r="K379">
        <v>0</v>
      </c>
      <c r="L379">
        <v>3</v>
      </c>
      <c r="M379">
        <v>0</v>
      </c>
      <c r="N379">
        <v>2</v>
      </c>
      <c r="O379">
        <v>1</v>
      </c>
      <c r="P379">
        <v>0</v>
      </c>
      <c r="Q379">
        <v>0</v>
      </c>
      <c r="S379" t="str">
        <f>"13:53:38.953"</f>
        <v>13:53:38.953</v>
      </c>
      <c r="T379" t="str">
        <f>"13:53:38.553"</f>
        <v>13:53:38.553</v>
      </c>
      <c r="U379" t="str">
        <f t="shared" si="19"/>
        <v>A92BC1</v>
      </c>
      <c r="V379">
        <v>0</v>
      </c>
      <c r="W379">
        <v>0</v>
      </c>
      <c r="X379">
        <v>2</v>
      </c>
      <c r="Z379">
        <v>0</v>
      </c>
      <c r="AA379">
        <v>9</v>
      </c>
      <c r="AB379">
        <v>3</v>
      </c>
      <c r="AC379">
        <v>0</v>
      </c>
      <c r="AD379">
        <v>10</v>
      </c>
      <c r="AE379">
        <v>0</v>
      </c>
      <c r="AF379">
        <v>3</v>
      </c>
      <c r="AG379">
        <v>2</v>
      </c>
      <c r="AH379">
        <v>0</v>
      </c>
      <c r="AI379" t="s">
        <v>480</v>
      </c>
      <c r="AJ379">
        <v>45.716729000000001</v>
      </c>
      <c r="AK379" t="s">
        <v>481</v>
      </c>
      <c r="AL379">
        <v>-89.403111999999993</v>
      </c>
      <c r="AM379">
        <v>100</v>
      </c>
      <c r="AN379">
        <v>8100</v>
      </c>
      <c r="AO379" t="s">
        <v>118</v>
      </c>
      <c r="AP379">
        <v>131</v>
      </c>
      <c r="AQ379">
        <v>107</v>
      </c>
      <c r="AR379">
        <v>1856</v>
      </c>
      <c r="AZ379">
        <v>1200</v>
      </c>
      <c r="BA379">
        <v>1</v>
      </c>
      <c r="BB379" t="str">
        <f t="shared" si="21"/>
        <v xml:space="preserve">N690LS  </v>
      </c>
      <c r="BC379">
        <v>1</v>
      </c>
      <c r="BE379">
        <v>0</v>
      </c>
      <c r="BF379">
        <v>0</v>
      </c>
      <c r="BG379">
        <v>0</v>
      </c>
      <c r="BH379">
        <v>8250</v>
      </c>
      <c r="BI379">
        <v>1</v>
      </c>
      <c r="BJ379">
        <v>1</v>
      </c>
      <c r="BK379">
        <v>1</v>
      </c>
      <c r="BL379">
        <v>0</v>
      </c>
      <c r="BO379">
        <v>0</v>
      </c>
      <c r="BP379">
        <v>0</v>
      </c>
      <c r="BW379" t="str">
        <f>"13:53:38.960"</f>
        <v>13:53:38.960</v>
      </c>
      <c r="CJ379">
        <v>0</v>
      </c>
      <c r="CK379">
        <v>2</v>
      </c>
      <c r="CL379">
        <v>0</v>
      </c>
      <c r="CM379">
        <v>2</v>
      </c>
      <c r="CN379">
        <v>0</v>
      </c>
      <c r="CO379">
        <v>7</v>
      </c>
      <c r="CP379" t="s">
        <v>119</v>
      </c>
      <c r="CQ379">
        <v>197</v>
      </c>
      <c r="CR379">
        <v>1</v>
      </c>
      <c r="CW379">
        <v>7165601</v>
      </c>
      <c r="CY379">
        <v>1</v>
      </c>
      <c r="CZ379">
        <v>0</v>
      </c>
      <c r="DA379">
        <v>0</v>
      </c>
      <c r="DB379">
        <v>0</v>
      </c>
      <c r="DC379">
        <v>0</v>
      </c>
      <c r="DD379">
        <v>0</v>
      </c>
      <c r="DE379">
        <v>0</v>
      </c>
      <c r="DF379">
        <v>0</v>
      </c>
      <c r="DG379">
        <v>0</v>
      </c>
      <c r="DH379">
        <v>0</v>
      </c>
      <c r="DI379">
        <v>0</v>
      </c>
    </row>
    <row r="380" spans="1:113" x14ac:dyDescent="0.3">
      <c r="A380" t="str">
        <f>"09/28/2021 13:53:39.167"</f>
        <v>09/28/2021 13:53:39.167</v>
      </c>
      <c r="C380" t="str">
        <f t="shared" si="20"/>
        <v>FFDFD3C0</v>
      </c>
      <c r="D380" t="s">
        <v>113</v>
      </c>
      <c r="E380">
        <v>7</v>
      </c>
      <c r="H380">
        <v>170</v>
      </c>
      <c r="I380" t="s">
        <v>114</v>
      </c>
      <c r="J380" t="s">
        <v>115</v>
      </c>
      <c r="K380">
        <v>0</v>
      </c>
      <c r="L380">
        <v>3</v>
      </c>
      <c r="M380">
        <v>0</v>
      </c>
      <c r="N380">
        <v>2</v>
      </c>
      <c r="O380">
        <v>1</v>
      </c>
      <c r="P380">
        <v>0</v>
      </c>
      <c r="Q380">
        <v>0</v>
      </c>
      <c r="S380" t="str">
        <f>"13:53:38.953"</f>
        <v>13:53:38.953</v>
      </c>
      <c r="T380" t="str">
        <f>"13:53:38.553"</f>
        <v>13:53:38.553</v>
      </c>
      <c r="U380" t="str">
        <f t="shared" si="19"/>
        <v>A92BC1</v>
      </c>
      <c r="V380">
        <v>0</v>
      </c>
      <c r="W380">
        <v>0</v>
      </c>
      <c r="X380">
        <v>2</v>
      </c>
      <c r="Z380">
        <v>0</v>
      </c>
      <c r="AA380">
        <v>9</v>
      </c>
      <c r="AB380">
        <v>3</v>
      </c>
      <c r="AC380">
        <v>0</v>
      </c>
      <c r="AD380">
        <v>10</v>
      </c>
      <c r="AE380">
        <v>0</v>
      </c>
      <c r="AF380">
        <v>3</v>
      </c>
      <c r="AG380">
        <v>2</v>
      </c>
      <c r="AH380">
        <v>0</v>
      </c>
      <c r="AI380" t="s">
        <v>480</v>
      </c>
      <c r="AJ380">
        <v>45.716729000000001</v>
      </c>
      <c r="AK380" t="s">
        <v>481</v>
      </c>
      <c r="AL380">
        <v>-89.403111999999993</v>
      </c>
      <c r="AM380">
        <v>100</v>
      </c>
      <c r="AN380">
        <v>8100</v>
      </c>
      <c r="AO380" t="s">
        <v>118</v>
      </c>
      <c r="AP380">
        <v>131</v>
      </c>
      <c r="AQ380">
        <v>107</v>
      </c>
      <c r="AR380">
        <v>1856</v>
      </c>
      <c r="AZ380">
        <v>1200</v>
      </c>
      <c r="BA380">
        <v>1</v>
      </c>
      <c r="BB380" t="str">
        <f t="shared" si="21"/>
        <v xml:space="preserve">N690LS  </v>
      </c>
      <c r="BC380">
        <v>1</v>
      </c>
      <c r="BE380">
        <v>0</v>
      </c>
      <c r="BF380">
        <v>0</v>
      </c>
      <c r="BG380">
        <v>0</v>
      </c>
      <c r="BH380">
        <v>8250</v>
      </c>
      <c r="BI380">
        <v>1</v>
      </c>
      <c r="BJ380">
        <v>1</v>
      </c>
      <c r="BK380">
        <v>1</v>
      </c>
      <c r="BL380">
        <v>0</v>
      </c>
      <c r="BO380">
        <v>0</v>
      </c>
      <c r="BP380">
        <v>0</v>
      </c>
      <c r="BW380" t="str">
        <f>"13:53:38.960"</f>
        <v>13:53:38.960</v>
      </c>
      <c r="CJ380">
        <v>0</v>
      </c>
      <c r="CK380">
        <v>2</v>
      </c>
      <c r="CL380">
        <v>0</v>
      </c>
      <c r="CM380">
        <v>2</v>
      </c>
      <c r="CN380">
        <v>0</v>
      </c>
      <c r="CO380">
        <v>7</v>
      </c>
      <c r="CP380" t="s">
        <v>119</v>
      </c>
      <c r="CQ380">
        <v>197</v>
      </c>
      <c r="CR380">
        <v>1</v>
      </c>
      <c r="CW380">
        <v>7165601</v>
      </c>
      <c r="CY380">
        <v>1</v>
      </c>
      <c r="CZ380">
        <v>0</v>
      </c>
      <c r="DA380">
        <v>1</v>
      </c>
      <c r="DB380">
        <v>0</v>
      </c>
      <c r="DC380">
        <v>0</v>
      </c>
      <c r="DD380">
        <v>0</v>
      </c>
      <c r="DE380">
        <v>0</v>
      </c>
      <c r="DF380">
        <v>0</v>
      </c>
      <c r="DG380">
        <v>0</v>
      </c>
      <c r="DH380">
        <v>0</v>
      </c>
      <c r="DI380">
        <v>0</v>
      </c>
    </row>
    <row r="381" spans="1:113" x14ac:dyDescent="0.3">
      <c r="A381" t="str">
        <f>"09/28/2021 13:53:40.073"</f>
        <v>09/28/2021 13:53:40.073</v>
      </c>
      <c r="C381" t="str">
        <f t="shared" si="20"/>
        <v>FFDFD3C0</v>
      </c>
      <c r="D381" t="s">
        <v>120</v>
      </c>
      <c r="E381">
        <v>12</v>
      </c>
      <c r="F381">
        <v>1012</v>
      </c>
      <c r="G381" t="s">
        <v>114</v>
      </c>
      <c r="J381" t="s">
        <v>121</v>
      </c>
      <c r="K381">
        <v>0</v>
      </c>
      <c r="L381">
        <v>3</v>
      </c>
      <c r="M381">
        <v>0</v>
      </c>
      <c r="N381">
        <v>2</v>
      </c>
      <c r="O381">
        <v>1</v>
      </c>
      <c r="P381">
        <v>0</v>
      </c>
      <c r="Q381">
        <v>0</v>
      </c>
      <c r="S381" t="str">
        <f>"13:53:39.875"</f>
        <v>13:53:39.875</v>
      </c>
      <c r="T381" t="str">
        <f>"13:53:39.475"</f>
        <v>13:53:39.475</v>
      </c>
      <c r="U381" t="str">
        <f t="shared" si="19"/>
        <v>A92BC1</v>
      </c>
      <c r="V381">
        <v>0</v>
      </c>
      <c r="W381">
        <v>0</v>
      </c>
      <c r="X381">
        <v>2</v>
      </c>
      <c r="Z381">
        <v>0</v>
      </c>
      <c r="AA381">
        <v>9</v>
      </c>
      <c r="AB381">
        <v>3</v>
      </c>
      <c r="AC381">
        <v>0</v>
      </c>
      <c r="AD381">
        <v>10</v>
      </c>
      <c r="AE381">
        <v>0</v>
      </c>
      <c r="AF381">
        <v>3</v>
      </c>
      <c r="AG381">
        <v>2</v>
      </c>
      <c r="AH381">
        <v>0</v>
      </c>
      <c r="AI381" t="s">
        <v>482</v>
      </c>
      <c r="AJ381">
        <v>45.717179999999999</v>
      </c>
      <c r="AK381" t="s">
        <v>483</v>
      </c>
      <c r="AL381">
        <v>-89.402338999999998</v>
      </c>
      <c r="AM381">
        <v>100</v>
      </c>
      <c r="AN381">
        <v>8100</v>
      </c>
      <c r="AO381" t="s">
        <v>118</v>
      </c>
      <c r="AP381">
        <v>131</v>
      </c>
      <c r="AQ381">
        <v>108</v>
      </c>
      <c r="AR381">
        <v>1920</v>
      </c>
      <c r="AZ381">
        <v>1200</v>
      </c>
      <c r="BA381">
        <v>1</v>
      </c>
      <c r="BB381" t="str">
        <f t="shared" si="21"/>
        <v xml:space="preserve">N690LS  </v>
      </c>
      <c r="BC381">
        <v>1</v>
      </c>
      <c r="BE381">
        <v>0</v>
      </c>
      <c r="BF381">
        <v>0</v>
      </c>
      <c r="BG381">
        <v>0</v>
      </c>
      <c r="BH381">
        <v>8275</v>
      </c>
      <c r="BI381">
        <v>1</v>
      </c>
      <c r="BJ381">
        <v>1</v>
      </c>
      <c r="BK381">
        <v>1</v>
      </c>
      <c r="BL381">
        <v>0</v>
      </c>
      <c r="BO381">
        <v>0</v>
      </c>
      <c r="BP381">
        <v>0</v>
      </c>
      <c r="BW381" t="str">
        <f>"13:53:39.882"</f>
        <v>13:53:39.882</v>
      </c>
      <c r="CJ381">
        <v>0</v>
      </c>
      <c r="CK381">
        <v>2</v>
      </c>
      <c r="CL381">
        <v>0</v>
      </c>
      <c r="CM381">
        <v>2</v>
      </c>
      <c r="CN381">
        <v>0</v>
      </c>
      <c r="CO381">
        <v>7</v>
      </c>
      <c r="CP381" t="s">
        <v>119</v>
      </c>
      <c r="CQ381">
        <v>197</v>
      </c>
      <c r="CR381">
        <v>1</v>
      </c>
      <c r="CW381">
        <v>7166589</v>
      </c>
      <c r="CY381">
        <v>1</v>
      </c>
      <c r="CZ381">
        <v>0</v>
      </c>
      <c r="DA381">
        <v>0</v>
      </c>
      <c r="DB381">
        <v>0</v>
      </c>
      <c r="DC381">
        <v>0</v>
      </c>
      <c r="DD381">
        <v>0</v>
      </c>
      <c r="DE381">
        <v>0</v>
      </c>
      <c r="DF381">
        <v>0</v>
      </c>
      <c r="DG381">
        <v>0</v>
      </c>
      <c r="DH381">
        <v>0</v>
      </c>
      <c r="DI381">
        <v>0</v>
      </c>
    </row>
    <row r="382" spans="1:113" x14ac:dyDescent="0.3">
      <c r="A382" t="str">
        <f>"09/28/2021 13:53:40.073"</f>
        <v>09/28/2021 13:53:40.073</v>
      </c>
      <c r="C382" t="str">
        <f t="shared" si="20"/>
        <v>FFDFD3C0</v>
      </c>
      <c r="D382" t="s">
        <v>113</v>
      </c>
      <c r="E382">
        <v>7</v>
      </c>
      <c r="H382">
        <v>170</v>
      </c>
      <c r="I382" t="s">
        <v>114</v>
      </c>
      <c r="J382" t="s">
        <v>115</v>
      </c>
      <c r="K382">
        <v>0</v>
      </c>
      <c r="L382">
        <v>3</v>
      </c>
      <c r="M382">
        <v>0</v>
      </c>
      <c r="N382">
        <v>2</v>
      </c>
      <c r="O382">
        <v>1</v>
      </c>
      <c r="P382">
        <v>0</v>
      </c>
      <c r="Q382">
        <v>0</v>
      </c>
      <c r="S382" t="str">
        <f>"13:53:39.875"</f>
        <v>13:53:39.875</v>
      </c>
      <c r="T382" t="str">
        <f>"13:53:39.475"</f>
        <v>13:53:39.475</v>
      </c>
      <c r="U382" t="str">
        <f t="shared" si="19"/>
        <v>A92BC1</v>
      </c>
      <c r="V382">
        <v>0</v>
      </c>
      <c r="W382">
        <v>0</v>
      </c>
      <c r="X382">
        <v>2</v>
      </c>
      <c r="Z382">
        <v>0</v>
      </c>
      <c r="AA382">
        <v>9</v>
      </c>
      <c r="AB382">
        <v>3</v>
      </c>
      <c r="AC382">
        <v>0</v>
      </c>
      <c r="AD382">
        <v>10</v>
      </c>
      <c r="AE382">
        <v>0</v>
      </c>
      <c r="AF382">
        <v>3</v>
      </c>
      <c r="AG382">
        <v>2</v>
      </c>
      <c r="AH382">
        <v>0</v>
      </c>
      <c r="AI382" t="s">
        <v>482</v>
      </c>
      <c r="AJ382">
        <v>45.717179999999999</v>
      </c>
      <c r="AK382" t="s">
        <v>483</v>
      </c>
      <c r="AL382">
        <v>-89.402338999999998</v>
      </c>
      <c r="AM382">
        <v>100</v>
      </c>
      <c r="AN382">
        <v>8100</v>
      </c>
      <c r="AO382" t="s">
        <v>118</v>
      </c>
      <c r="AP382">
        <v>131</v>
      </c>
      <c r="AQ382">
        <v>108</v>
      </c>
      <c r="AR382">
        <v>1920</v>
      </c>
      <c r="AZ382">
        <v>1200</v>
      </c>
      <c r="BA382">
        <v>1</v>
      </c>
      <c r="BB382" t="str">
        <f t="shared" si="21"/>
        <v xml:space="preserve">N690LS  </v>
      </c>
      <c r="BC382">
        <v>1</v>
      </c>
      <c r="BE382">
        <v>0</v>
      </c>
      <c r="BF382">
        <v>0</v>
      </c>
      <c r="BG382">
        <v>0</v>
      </c>
      <c r="BH382">
        <v>8275</v>
      </c>
      <c r="BI382">
        <v>1</v>
      </c>
      <c r="BJ382">
        <v>1</v>
      </c>
      <c r="BK382">
        <v>1</v>
      </c>
      <c r="BL382">
        <v>0</v>
      </c>
      <c r="BO382">
        <v>0</v>
      </c>
      <c r="BP382">
        <v>0</v>
      </c>
      <c r="BW382" t="str">
        <f>"13:53:39.882"</f>
        <v>13:53:39.882</v>
      </c>
      <c r="CJ382">
        <v>0</v>
      </c>
      <c r="CK382">
        <v>2</v>
      </c>
      <c r="CL382">
        <v>0</v>
      </c>
      <c r="CM382">
        <v>2</v>
      </c>
      <c r="CN382">
        <v>0</v>
      </c>
      <c r="CO382">
        <v>7</v>
      </c>
      <c r="CP382" t="s">
        <v>119</v>
      </c>
      <c r="CQ382">
        <v>197</v>
      </c>
      <c r="CR382">
        <v>1</v>
      </c>
      <c r="CW382">
        <v>7166589</v>
      </c>
      <c r="CY382">
        <v>1</v>
      </c>
      <c r="CZ382">
        <v>0</v>
      </c>
      <c r="DA382">
        <v>1</v>
      </c>
      <c r="DB382">
        <v>0</v>
      </c>
      <c r="DC382">
        <v>0</v>
      </c>
      <c r="DD382">
        <v>0</v>
      </c>
      <c r="DE382">
        <v>0</v>
      </c>
      <c r="DF382">
        <v>0</v>
      </c>
      <c r="DG382">
        <v>0</v>
      </c>
      <c r="DH382">
        <v>0</v>
      </c>
      <c r="DI382">
        <v>0</v>
      </c>
    </row>
    <row r="383" spans="1:113" x14ac:dyDescent="0.3">
      <c r="A383" t="str">
        <f>"09/28/2021 13:53:41.073"</f>
        <v>09/28/2021 13:53:41.073</v>
      </c>
      <c r="C383" t="str">
        <f t="shared" si="20"/>
        <v>FFDFD3C0</v>
      </c>
      <c r="D383" t="s">
        <v>113</v>
      </c>
      <c r="E383">
        <v>7</v>
      </c>
      <c r="H383">
        <v>170</v>
      </c>
      <c r="I383" t="s">
        <v>114</v>
      </c>
      <c r="J383" t="s">
        <v>115</v>
      </c>
      <c r="K383">
        <v>0</v>
      </c>
      <c r="L383">
        <v>3</v>
      </c>
      <c r="M383">
        <v>0</v>
      </c>
      <c r="N383">
        <v>2</v>
      </c>
      <c r="O383">
        <v>1</v>
      </c>
      <c r="P383">
        <v>0</v>
      </c>
      <c r="Q383">
        <v>0</v>
      </c>
      <c r="S383" t="str">
        <f>"13:53:40.828"</f>
        <v>13:53:40.828</v>
      </c>
      <c r="T383" t="str">
        <f>"13:53:40.428"</f>
        <v>13:53:40.428</v>
      </c>
      <c r="U383" t="str">
        <f t="shared" si="19"/>
        <v>A92BC1</v>
      </c>
      <c r="V383">
        <v>0</v>
      </c>
      <c r="W383">
        <v>0</v>
      </c>
      <c r="X383">
        <v>2</v>
      </c>
      <c r="Z383">
        <v>0</v>
      </c>
      <c r="AA383">
        <v>9</v>
      </c>
      <c r="AB383">
        <v>3</v>
      </c>
      <c r="AC383">
        <v>0</v>
      </c>
      <c r="AD383">
        <v>10</v>
      </c>
      <c r="AE383">
        <v>0</v>
      </c>
      <c r="AF383">
        <v>3</v>
      </c>
      <c r="AG383">
        <v>2</v>
      </c>
      <c r="AH383">
        <v>0</v>
      </c>
      <c r="AI383" t="s">
        <v>484</v>
      </c>
      <c r="AJ383">
        <v>45.717694999999999</v>
      </c>
      <c r="AK383" t="s">
        <v>485</v>
      </c>
      <c r="AL383">
        <v>-89.40146</v>
      </c>
      <c r="AM383">
        <v>100</v>
      </c>
      <c r="AN383">
        <v>8100</v>
      </c>
      <c r="AO383" t="s">
        <v>118</v>
      </c>
      <c r="AP383">
        <v>131</v>
      </c>
      <c r="AQ383">
        <v>108</v>
      </c>
      <c r="AR383">
        <v>1856</v>
      </c>
      <c r="AZ383">
        <v>1200</v>
      </c>
      <c r="BA383">
        <v>1</v>
      </c>
      <c r="BB383" t="str">
        <f t="shared" si="21"/>
        <v xml:space="preserve">N690LS  </v>
      </c>
      <c r="BC383">
        <v>1</v>
      </c>
      <c r="BE383">
        <v>0</v>
      </c>
      <c r="BF383">
        <v>0</v>
      </c>
      <c r="BG383">
        <v>0</v>
      </c>
      <c r="BH383">
        <v>8300</v>
      </c>
      <c r="BI383">
        <v>1</v>
      </c>
      <c r="BJ383">
        <v>1</v>
      </c>
      <c r="BK383">
        <v>1</v>
      </c>
      <c r="BL383">
        <v>0</v>
      </c>
      <c r="BO383">
        <v>0</v>
      </c>
      <c r="BP383">
        <v>0</v>
      </c>
      <c r="BW383" t="str">
        <f>"13:53:40.831"</f>
        <v>13:53:40.831</v>
      </c>
      <c r="CJ383">
        <v>0</v>
      </c>
      <c r="CK383">
        <v>2</v>
      </c>
      <c r="CL383">
        <v>0</v>
      </c>
      <c r="CM383">
        <v>2</v>
      </c>
      <c r="CN383">
        <v>0</v>
      </c>
      <c r="CO383">
        <v>7</v>
      </c>
      <c r="CP383" t="s">
        <v>119</v>
      </c>
      <c r="CQ383">
        <v>197</v>
      </c>
      <c r="CR383">
        <v>1</v>
      </c>
      <c r="CW383">
        <v>7167645</v>
      </c>
      <c r="CY383">
        <v>1</v>
      </c>
      <c r="CZ383">
        <v>0</v>
      </c>
      <c r="DA383">
        <v>0</v>
      </c>
      <c r="DB383">
        <v>0</v>
      </c>
      <c r="DC383">
        <v>0</v>
      </c>
      <c r="DD383">
        <v>0</v>
      </c>
      <c r="DE383">
        <v>0</v>
      </c>
      <c r="DF383">
        <v>0</v>
      </c>
      <c r="DG383">
        <v>0</v>
      </c>
      <c r="DH383">
        <v>0</v>
      </c>
      <c r="DI383">
        <v>0</v>
      </c>
    </row>
    <row r="384" spans="1:113" x14ac:dyDescent="0.3">
      <c r="A384" t="str">
        <f>"09/28/2021 13:53:41.073"</f>
        <v>09/28/2021 13:53:41.073</v>
      </c>
      <c r="C384" t="str">
        <f t="shared" si="20"/>
        <v>FFDFD3C0</v>
      </c>
      <c r="D384" t="s">
        <v>120</v>
      </c>
      <c r="E384">
        <v>12</v>
      </c>
      <c r="F384">
        <v>1012</v>
      </c>
      <c r="G384" t="s">
        <v>114</v>
      </c>
      <c r="J384" t="s">
        <v>121</v>
      </c>
      <c r="K384">
        <v>0</v>
      </c>
      <c r="L384">
        <v>3</v>
      </c>
      <c r="M384">
        <v>0</v>
      </c>
      <c r="N384">
        <v>2</v>
      </c>
      <c r="O384">
        <v>1</v>
      </c>
      <c r="P384">
        <v>0</v>
      </c>
      <c r="Q384">
        <v>0</v>
      </c>
      <c r="S384" t="str">
        <f>"13:53:40.828"</f>
        <v>13:53:40.828</v>
      </c>
      <c r="T384" t="str">
        <f>"13:53:40.428"</f>
        <v>13:53:40.428</v>
      </c>
      <c r="U384" t="str">
        <f t="shared" si="19"/>
        <v>A92BC1</v>
      </c>
      <c r="V384">
        <v>0</v>
      </c>
      <c r="W384">
        <v>0</v>
      </c>
      <c r="X384">
        <v>2</v>
      </c>
      <c r="Z384">
        <v>0</v>
      </c>
      <c r="AA384">
        <v>9</v>
      </c>
      <c r="AB384">
        <v>3</v>
      </c>
      <c r="AC384">
        <v>0</v>
      </c>
      <c r="AD384">
        <v>10</v>
      </c>
      <c r="AE384">
        <v>0</v>
      </c>
      <c r="AF384">
        <v>3</v>
      </c>
      <c r="AG384">
        <v>2</v>
      </c>
      <c r="AH384">
        <v>0</v>
      </c>
      <c r="AI384" t="s">
        <v>484</v>
      </c>
      <c r="AJ384">
        <v>45.717694999999999</v>
      </c>
      <c r="AK384" t="s">
        <v>485</v>
      </c>
      <c r="AL384">
        <v>-89.40146</v>
      </c>
      <c r="AM384">
        <v>100</v>
      </c>
      <c r="AN384">
        <v>8100</v>
      </c>
      <c r="AO384" t="s">
        <v>118</v>
      </c>
      <c r="AP384">
        <v>131</v>
      </c>
      <c r="AQ384">
        <v>108</v>
      </c>
      <c r="AR384">
        <v>1856</v>
      </c>
      <c r="AZ384">
        <v>1200</v>
      </c>
      <c r="BA384">
        <v>1</v>
      </c>
      <c r="BB384" t="str">
        <f t="shared" si="21"/>
        <v xml:space="preserve">N690LS  </v>
      </c>
      <c r="BC384">
        <v>1</v>
      </c>
      <c r="BE384">
        <v>0</v>
      </c>
      <c r="BF384">
        <v>0</v>
      </c>
      <c r="BG384">
        <v>0</v>
      </c>
      <c r="BH384">
        <v>8300</v>
      </c>
      <c r="BI384">
        <v>1</v>
      </c>
      <c r="BJ384">
        <v>1</v>
      </c>
      <c r="BK384">
        <v>1</v>
      </c>
      <c r="BL384">
        <v>0</v>
      </c>
      <c r="BO384">
        <v>0</v>
      </c>
      <c r="BP384">
        <v>0</v>
      </c>
      <c r="BW384" t="str">
        <f>"13:53:40.831"</f>
        <v>13:53:40.831</v>
      </c>
      <c r="CJ384">
        <v>0</v>
      </c>
      <c r="CK384">
        <v>2</v>
      </c>
      <c r="CL384">
        <v>0</v>
      </c>
      <c r="CM384">
        <v>2</v>
      </c>
      <c r="CN384">
        <v>0</v>
      </c>
      <c r="CO384">
        <v>7</v>
      </c>
      <c r="CP384" t="s">
        <v>119</v>
      </c>
      <c r="CQ384">
        <v>197</v>
      </c>
      <c r="CR384">
        <v>1</v>
      </c>
      <c r="CW384">
        <v>7167645</v>
      </c>
      <c r="CY384">
        <v>1</v>
      </c>
      <c r="CZ384">
        <v>0</v>
      </c>
      <c r="DA384">
        <v>1</v>
      </c>
      <c r="DB384">
        <v>0</v>
      </c>
      <c r="DC384">
        <v>0</v>
      </c>
      <c r="DD384">
        <v>0</v>
      </c>
      <c r="DE384">
        <v>0</v>
      </c>
      <c r="DF384">
        <v>0</v>
      </c>
      <c r="DG384">
        <v>0</v>
      </c>
      <c r="DH384">
        <v>0</v>
      </c>
      <c r="DI384">
        <v>0</v>
      </c>
    </row>
    <row r="385" spans="1:113" x14ac:dyDescent="0.3">
      <c r="A385" t="str">
        <f>"09/28/2021 13:53:41.993"</f>
        <v>09/28/2021 13:53:41.993</v>
      </c>
      <c r="C385" t="str">
        <f t="shared" si="20"/>
        <v>FFDFD3C0</v>
      </c>
      <c r="D385" t="s">
        <v>113</v>
      </c>
      <c r="E385">
        <v>7</v>
      </c>
      <c r="H385">
        <v>170</v>
      </c>
      <c r="I385" t="s">
        <v>114</v>
      </c>
      <c r="J385" t="s">
        <v>115</v>
      </c>
      <c r="K385">
        <v>0</v>
      </c>
      <c r="L385">
        <v>3</v>
      </c>
      <c r="M385">
        <v>0</v>
      </c>
      <c r="N385">
        <v>2</v>
      </c>
      <c r="O385">
        <v>1</v>
      </c>
      <c r="P385">
        <v>0</v>
      </c>
      <c r="Q385">
        <v>0</v>
      </c>
      <c r="S385" t="str">
        <f>"13:53:41.789"</f>
        <v>13:53:41.789</v>
      </c>
      <c r="T385" t="str">
        <f>"13:53:41.389"</f>
        <v>13:53:41.389</v>
      </c>
      <c r="U385" t="str">
        <f t="shared" si="19"/>
        <v>A92BC1</v>
      </c>
      <c r="V385">
        <v>0</v>
      </c>
      <c r="W385">
        <v>0</v>
      </c>
      <c r="X385">
        <v>2</v>
      </c>
      <c r="Z385">
        <v>0</v>
      </c>
      <c r="AA385">
        <v>9</v>
      </c>
      <c r="AB385">
        <v>3</v>
      </c>
      <c r="AC385">
        <v>0</v>
      </c>
      <c r="AD385">
        <v>10</v>
      </c>
      <c r="AE385">
        <v>0</v>
      </c>
      <c r="AF385">
        <v>3</v>
      </c>
      <c r="AG385">
        <v>2</v>
      </c>
      <c r="AH385">
        <v>0</v>
      </c>
      <c r="AI385" t="s">
        <v>486</v>
      </c>
      <c r="AJ385">
        <v>45.718145</v>
      </c>
      <c r="AK385" t="s">
        <v>487</v>
      </c>
      <c r="AL385">
        <v>-89.400709000000006</v>
      </c>
      <c r="AM385">
        <v>100</v>
      </c>
      <c r="AN385">
        <v>8100</v>
      </c>
      <c r="AO385" t="s">
        <v>118</v>
      </c>
      <c r="AP385">
        <v>131</v>
      </c>
      <c r="AQ385">
        <v>108</v>
      </c>
      <c r="AR385">
        <v>1920</v>
      </c>
      <c r="AZ385">
        <v>1200</v>
      </c>
      <c r="BA385">
        <v>1</v>
      </c>
      <c r="BB385" t="str">
        <f t="shared" si="21"/>
        <v xml:space="preserve">N690LS  </v>
      </c>
      <c r="BC385">
        <v>1</v>
      </c>
      <c r="BE385">
        <v>0</v>
      </c>
      <c r="BF385">
        <v>0</v>
      </c>
      <c r="BG385">
        <v>0</v>
      </c>
      <c r="BH385">
        <v>8350</v>
      </c>
      <c r="BI385">
        <v>1</v>
      </c>
      <c r="BJ385">
        <v>1</v>
      </c>
      <c r="BK385">
        <v>1</v>
      </c>
      <c r="BL385">
        <v>0</v>
      </c>
      <c r="BO385">
        <v>0</v>
      </c>
      <c r="BP385">
        <v>0</v>
      </c>
      <c r="BW385" t="str">
        <f>"13:53:41.789"</f>
        <v>13:53:41.789</v>
      </c>
      <c r="CJ385">
        <v>0</v>
      </c>
      <c r="CK385">
        <v>2</v>
      </c>
      <c r="CL385">
        <v>0</v>
      </c>
      <c r="CM385">
        <v>2</v>
      </c>
      <c r="CN385">
        <v>0</v>
      </c>
      <c r="CO385">
        <v>7</v>
      </c>
      <c r="CP385" t="s">
        <v>119</v>
      </c>
      <c r="CQ385">
        <v>197</v>
      </c>
      <c r="CR385">
        <v>1</v>
      </c>
      <c r="CW385">
        <v>7168775</v>
      </c>
      <c r="CY385">
        <v>1</v>
      </c>
      <c r="CZ385">
        <v>0</v>
      </c>
      <c r="DA385">
        <v>0</v>
      </c>
      <c r="DB385">
        <v>0</v>
      </c>
      <c r="DC385">
        <v>0</v>
      </c>
      <c r="DD385">
        <v>0</v>
      </c>
      <c r="DE385">
        <v>0</v>
      </c>
      <c r="DF385">
        <v>0</v>
      </c>
      <c r="DG385">
        <v>0</v>
      </c>
      <c r="DH385">
        <v>0</v>
      </c>
      <c r="DI385">
        <v>0</v>
      </c>
    </row>
    <row r="386" spans="1:113" x14ac:dyDescent="0.3">
      <c r="A386" t="str">
        <f>"09/28/2021 13:53:42.072"</f>
        <v>09/28/2021 13:53:42.072</v>
      </c>
      <c r="C386" t="str">
        <f t="shared" si="20"/>
        <v>FFDFD3C0</v>
      </c>
      <c r="D386" t="s">
        <v>120</v>
      </c>
      <c r="E386">
        <v>12</v>
      </c>
      <c r="F386">
        <v>1012</v>
      </c>
      <c r="G386" t="s">
        <v>114</v>
      </c>
      <c r="J386" t="s">
        <v>121</v>
      </c>
      <c r="K386">
        <v>0</v>
      </c>
      <c r="L386">
        <v>3</v>
      </c>
      <c r="M386">
        <v>0</v>
      </c>
      <c r="N386">
        <v>2</v>
      </c>
      <c r="O386">
        <v>1</v>
      </c>
      <c r="P386">
        <v>0</v>
      </c>
      <c r="Q386">
        <v>0</v>
      </c>
      <c r="S386" t="str">
        <f>"13:53:41.789"</f>
        <v>13:53:41.789</v>
      </c>
      <c r="T386" t="str">
        <f>"13:53:41.389"</f>
        <v>13:53:41.389</v>
      </c>
      <c r="U386" t="str">
        <f t="shared" ref="U386:U449" si="22">"A92BC1"</f>
        <v>A92BC1</v>
      </c>
      <c r="V386">
        <v>0</v>
      </c>
      <c r="W386">
        <v>0</v>
      </c>
      <c r="X386">
        <v>2</v>
      </c>
      <c r="Z386">
        <v>0</v>
      </c>
      <c r="AA386">
        <v>9</v>
      </c>
      <c r="AB386">
        <v>3</v>
      </c>
      <c r="AC386">
        <v>0</v>
      </c>
      <c r="AD386">
        <v>10</v>
      </c>
      <c r="AE386">
        <v>0</v>
      </c>
      <c r="AF386">
        <v>3</v>
      </c>
      <c r="AG386">
        <v>2</v>
      </c>
      <c r="AH386">
        <v>0</v>
      </c>
      <c r="AI386" t="s">
        <v>486</v>
      </c>
      <c r="AJ386">
        <v>45.718145</v>
      </c>
      <c r="AK386" t="s">
        <v>487</v>
      </c>
      <c r="AL386">
        <v>-89.400709000000006</v>
      </c>
      <c r="AM386">
        <v>100</v>
      </c>
      <c r="AN386">
        <v>8100</v>
      </c>
      <c r="AO386" t="s">
        <v>118</v>
      </c>
      <c r="AP386">
        <v>131</v>
      </c>
      <c r="AQ386">
        <v>108</v>
      </c>
      <c r="AR386">
        <v>1920</v>
      </c>
      <c r="AZ386">
        <v>1200</v>
      </c>
      <c r="BA386">
        <v>1</v>
      </c>
      <c r="BB386" t="str">
        <f t="shared" si="21"/>
        <v xml:space="preserve">N690LS  </v>
      </c>
      <c r="BC386">
        <v>1</v>
      </c>
      <c r="BE386">
        <v>0</v>
      </c>
      <c r="BF386">
        <v>0</v>
      </c>
      <c r="BG386">
        <v>0</v>
      </c>
      <c r="BH386">
        <v>8350</v>
      </c>
      <c r="BI386">
        <v>1</v>
      </c>
      <c r="BJ386">
        <v>1</v>
      </c>
      <c r="BK386">
        <v>1</v>
      </c>
      <c r="BL386">
        <v>0</v>
      </c>
      <c r="BO386">
        <v>0</v>
      </c>
      <c r="BP386">
        <v>0</v>
      </c>
      <c r="BW386" t="str">
        <f>"13:53:41.789"</f>
        <v>13:53:41.789</v>
      </c>
      <c r="CJ386">
        <v>0</v>
      </c>
      <c r="CK386">
        <v>2</v>
      </c>
      <c r="CL386">
        <v>0</v>
      </c>
      <c r="CM386">
        <v>2</v>
      </c>
      <c r="CN386">
        <v>0</v>
      </c>
      <c r="CO386">
        <v>7</v>
      </c>
      <c r="CP386" t="s">
        <v>119</v>
      </c>
      <c r="CQ386">
        <v>197</v>
      </c>
      <c r="CR386">
        <v>1</v>
      </c>
      <c r="CW386">
        <v>7168775</v>
      </c>
      <c r="CY386">
        <v>1</v>
      </c>
      <c r="CZ386">
        <v>0</v>
      </c>
      <c r="DA386">
        <v>1</v>
      </c>
      <c r="DB386">
        <v>0</v>
      </c>
      <c r="DC386">
        <v>0</v>
      </c>
      <c r="DD386">
        <v>0</v>
      </c>
      <c r="DE386">
        <v>0</v>
      </c>
      <c r="DF386">
        <v>0</v>
      </c>
      <c r="DG386">
        <v>0</v>
      </c>
      <c r="DH386">
        <v>0</v>
      </c>
      <c r="DI386">
        <v>0</v>
      </c>
    </row>
    <row r="387" spans="1:113" x14ac:dyDescent="0.3">
      <c r="A387" t="str">
        <f>"09/28/2021 13:53:43.087"</f>
        <v>09/28/2021 13:53:43.087</v>
      </c>
      <c r="C387" t="str">
        <f t="shared" si="20"/>
        <v>FFDFD3C0</v>
      </c>
      <c r="D387" t="s">
        <v>120</v>
      </c>
      <c r="E387">
        <v>12</v>
      </c>
      <c r="F387">
        <v>1012</v>
      </c>
      <c r="G387" t="s">
        <v>114</v>
      </c>
      <c r="J387" t="s">
        <v>121</v>
      </c>
      <c r="K387">
        <v>0</v>
      </c>
      <c r="L387">
        <v>3</v>
      </c>
      <c r="M387">
        <v>0</v>
      </c>
      <c r="N387">
        <v>2</v>
      </c>
      <c r="O387">
        <v>1</v>
      </c>
      <c r="P387">
        <v>0</v>
      </c>
      <c r="Q387">
        <v>0</v>
      </c>
      <c r="S387" t="str">
        <f>"13:53:42.867"</f>
        <v>13:53:42.867</v>
      </c>
      <c r="T387" t="str">
        <f>"13:53:42.367"</f>
        <v>13:53:42.367</v>
      </c>
      <c r="U387" t="str">
        <f t="shared" si="22"/>
        <v>A92BC1</v>
      </c>
      <c r="V387">
        <v>0</v>
      </c>
      <c r="W387">
        <v>0</v>
      </c>
      <c r="X387">
        <v>2</v>
      </c>
      <c r="Z387">
        <v>0</v>
      </c>
      <c r="AA387">
        <v>9</v>
      </c>
      <c r="AB387">
        <v>3</v>
      </c>
      <c r="AC387">
        <v>0</v>
      </c>
      <c r="AD387">
        <v>10</v>
      </c>
      <c r="AE387">
        <v>0</v>
      </c>
      <c r="AF387">
        <v>3</v>
      </c>
      <c r="AG387">
        <v>2</v>
      </c>
      <c r="AH387">
        <v>0</v>
      </c>
      <c r="AI387" t="s">
        <v>488</v>
      </c>
      <c r="AJ387">
        <v>45.718682000000001</v>
      </c>
      <c r="AK387" t="s">
        <v>489</v>
      </c>
      <c r="AL387">
        <v>-89.399743000000001</v>
      </c>
      <c r="AM387">
        <v>100</v>
      </c>
      <c r="AN387">
        <v>8200</v>
      </c>
      <c r="AO387" t="s">
        <v>118</v>
      </c>
      <c r="AP387">
        <v>131</v>
      </c>
      <c r="AQ387">
        <v>108</v>
      </c>
      <c r="AR387">
        <v>1920</v>
      </c>
      <c r="AZ387">
        <v>1200</v>
      </c>
      <c r="BA387">
        <v>1</v>
      </c>
      <c r="BB387" t="str">
        <f t="shared" si="21"/>
        <v xml:space="preserve">N690LS  </v>
      </c>
      <c r="BC387">
        <v>1</v>
      </c>
      <c r="BE387">
        <v>0</v>
      </c>
      <c r="BF387">
        <v>0</v>
      </c>
      <c r="BG387">
        <v>0</v>
      </c>
      <c r="BH387">
        <v>8375</v>
      </c>
      <c r="BI387">
        <v>1</v>
      </c>
      <c r="BJ387">
        <v>1</v>
      </c>
      <c r="BK387">
        <v>1</v>
      </c>
      <c r="BL387">
        <v>0</v>
      </c>
      <c r="BO387">
        <v>0</v>
      </c>
      <c r="BP387">
        <v>0</v>
      </c>
      <c r="BW387" t="str">
        <f>"13:53:42.870"</f>
        <v>13:53:42.870</v>
      </c>
      <c r="CJ387">
        <v>0</v>
      </c>
      <c r="CK387">
        <v>2</v>
      </c>
      <c r="CL387">
        <v>0</v>
      </c>
      <c r="CM387">
        <v>2</v>
      </c>
      <c r="CN387">
        <v>0</v>
      </c>
      <c r="CO387">
        <v>7</v>
      </c>
      <c r="CP387" t="s">
        <v>119</v>
      </c>
      <c r="CQ387">
        <v>197</v>
      </c>
      <c r="CR387">
        <v>2</v>
      </c>
      <c r="CW387">
        <v>2261489</v>
      </c>
      <c r="CY387">
        <v>1</v>
      </c>
      <c r="CZ387">
        <v>0</v>
      </c>
      <c r="DA387">
        <v>0</v>
      </c>
      <c r="DB387">
        <v>0</v>
      </c>
      <c r="DC387">
        <v>0</v>
      </c>
      <c r="DD387">
        <v>0</v>
      </c>
      <c r="DE387">
        <v>0</v>
      </c>
      <c r="DF387">
        <v>0</v>
      </c>
      <c r="DG387">
        <v>0</v>
      </c>
      <c r="DH387">
        <v>0</v>
      </c>
      <c r="DI387">
        <v>0</v>
      </c>
    </row>
    <row r="388" spans="1:113" x14ac:dyDescent="0.3">
      <c r="A388" t="str">
        <f>"09/28/2021 13:53:43.134"</f>
        <v>09/28/2021 13:53:43.134</v>
      </c>
      <c r="C388" t="str">
        <f t="shared" si="20"/>
        <v>FFDFD3C0</v>
      </c>
      <c r="D388" t="s">
        <v>113</v>
      </c>
      <c r="E388">
        <v>7</v>
      </c>
      <c r="H388">
        <v>170</v>
      </c>
      <c r="I388" t="s">
        <v>114</v>
      </c>
      <c r="J388" t="s">
        <v>115</v>
      </c>
      <c r="K388">
        <v>0</v>
      </c>
      <c r="L388">
        <v>3</v>
      </c>
      <c r="M388">
        <v>0</v>
      </c>
      <c r="N388">
        <v>2</v>
      </c>
      <c r="O388">
        <v>1</v>
      </c>
      <c r="P388">
        <v>0</v>
      </c>
      <c r="Q388">
        <v>0</v>
      </c>
      <c r="S388" t="str">
        <f>"13:53:42.867"</f>
        <v>13:53:42.867</v>
      </c>
      <c r="T388" t="str">
        <f>"13:53:42.367"</f>
        <v>13:53:42.367</v>
      </c>
      <c r="U388" t="str">
        <f t="shared" si="22"/>
        <v>A92BC1</v>
      </c>
      <c r="V388">
        <v>0</v>
      </c>
      <c r="W388">
        <v>0</v>
      </c>
      <c r="X388">
        <v>2</v>
      </c>
      <c r="Z388">
        <v>0</v>
      </c>
      <c r="AA388">
        <v>9</v>
      </c>
      <c r="AB388">
        <v>3</v>
      </c>
      <c r="AC388">
        <v>0</v>
      </c>
      <c r="AD388">
        <v>10</v>
      </c>
      <c r="AE388">
        <v>0</v>
      </c>
      <c r="AF388">
        <v>3</v>
      </c>
      <c r="AG388">
        <v>2</v>
      </c>
      <c r="AH388">
        <v>0</v>
      </c>
      <c r="AI388" t="s">
        <v>488</v>
      </c>
      <c r="AJ388">
        <v>45.718682000000001</v>
      </c>
      <c r="AK388" t="s">
        <v>489</v>
      </c>
      <c r="AL388">
        <v>-89.399743000000001</v>
      </c>
      <c r="AM388">
        <v>100</v>
      </c>
      <c r="AN388">
        <v>8200</v>
      </c>
      <c r="AO388" t="s">
        <v>118</v>
      </c>
      <c r="AP388">
        <v>131</v>
      </c>
      <c r="AQ388">
        <v>108</v>
      </c>
      <c r="AR388">
        <v>1920</v>
      </c>
      <c r="AZ388">
        <v>1200</v>
      </c>
      <c r="BA388">
        <v>1</v>
      </c>
      <c r="BB388" t="str">
        <f t="shared" si="21"/>
        <v xml:space="preserve">N690LS  </v>
      </c>
      <c r="BC388">
        <v>1</v>
      </c>
      <c r="BE388">
        <v>0</v>
      </c>
      <c r="BF388">
        <v>0</v>
      </c>
      <c r="BG388">
        <v>0</v>
      </c>
      <c r="BH388">
        <v>8375</v>
      </c>
      <c r="BI388">
        <v>1</v>
      </c>
      <c r="BJ388">
        <v>1</v>
      </c>
      <c r="BK388">
        <v>1</v>
      </c>
      <c r="BL388">
        <v>0</v>
      </c>
      <c r="BO388">
        <v>0</v>
      </c>
      <c r="BP388">
        <v>0</v>
      </c>
      <c r="BW388" t="str">
        <f>"13:53:42.870"</f>
        <v>13:53:42.870</v>
      </c>
      <c r="CJ388">
        <v>0</v>
      </c>
      <c r="CK388">
        <v>2</v>
      </c>
      <c r="CL388">
        <v>0</v>
      </c>
      <c r="CM388">
        <v>2</v>
      </c>
      <c r="CN388">
        <v>0</v>
      </c>
      <c r="CO388">
        <v>7</v>
      </c>
      <c r="CP388" t="s">
        <v>119</v>
      </c>
      <c r="CQ388">
        <v>197</v>
      </c>
      <c r="CR388">
        <v>2</v>
      </c>
      <c r="CW388">
        <v>2261489</v>
      </c>
      <c r="CY388">
        <v>1</v>
      </c>
      <c r="CZ388">
        <v>0</v>
      </c>
      <c r="DA388">
        <v>1</v>
      </c>
      <c r="DB388">
        <v>0</v>
      </c>
      <c r="DC388">
        <v>0</v>
      </c>
      <c r="DD388">
        <v>0</v>
      </c>
      <c r="DE388">
        <v>0</v>
      </c>
      <c r="DF388">
        <v>0</v>
      </c>
      <c r="DG388">
        <v>0</v>
      </c>
      <c r="DH388">
        <v>0</v>
      </c>
      <c r="DI388">
        <v>0</v>
      </c>
    </row>
    <row r="389" spans="1:113" x14ac:dyDescent="0.3">
      <c r="A389" t="str">
        <f>"09/28/2021 13:53:44.073"</f>
        <v>09/28/2021 13:53:44.073</v>
      </c>
      <c r="C389" t="str">
        <f t="shared" si="20"/>
        <v>FFDFD3C0</v>
      </c>
      <c r="D389" t="s">
        <v>113</v>
      </c>
      <c r="E389">
        <v>7</v>
      </c>
      <c r="H389">
        <v>170</v>
      </c>
      <c r="I389" t="s">
        <v>114</v>
      </c>
      <c r="J389" t="s">
        <v>115</v>
      </c>
      <c r="K389">
        <v>0</v>
      </c>
      <c r="L389">
        <v>3</v>
      </c>
      <c r="M389">
        <v>0</v>
      </c>
      <c r="N389">
        <v>2</v>
      </c>
      <c r="O389">
        <v>1</v>
      </c>
      <c r="P389">
        <v>0</v>
      </c>
      <c r="Q389">
        <v>0</v>
      </c>
      <c r="S389" t="str">
        <f>"13:53:43.797"</f>
        <v>13:53:43.797</v>
      </c>
      <c r="T389" t="str">
        <f>"13:53:43.397"</f>
        <v>13:53:43.397</v>
      </c>
      <c r="U389" t="str">
        <f t="shared" si="22"/>
        <v>A92BC1</v>
      </c>
      <c r="V389">
        <v>0</v>
      </c>
      <c r="W389">
        <v>0</v>
      </c>
      <c r="X389">
        <v>2</v>
      </c>
      <c r="Z389">
        <v>0</v>
      </c>
      <c r="AA389">
        <v>9</v>
      </c>
      <c r="AB389">
        <v>3</v>
      </c>
      <c r="AC389">
        <v>0</v>
      </c>
      <c r="AD389">
        <v>10</v>
      </c>
      <c r="AE389">
        <v>0</v>
      </c>
      <c r="AF389">
        <v>3</v>
      </c>
      <c r="AG389">
        <v>2</v>
      </c>
      <c r="AH389">
        <v>0</v>
      </c>
      <c r="AI389" t="s">
        <v>490</v>
      </c>
      <c r="AJ389">
        <v>45.719154000000003</v>
      </c>
      <c r="AK389" t="s">
        <v>491</v>
      </c>
      <c r="AL389">
        <v>-89.398971000000003</v>
      </c>
      <c r="AM389">
        <v>100</v>
      </c>
      <c r="AN389">
        <v>8200</v>
      </c>
      <c r="AO389" t="s">
        <v>118</v>
      </c>
      <c r="AP389">
        <v>131</v>
      </c>
      <c r="AQ389">
        <v>108</v>
      </c>
      <c r="AR389">
        <v>1920</v>
      </c>
      <c r="AZ389">
        <v>1200</v>
      </c>
      <c r="BA389">
        <v>1</v>
      </c>
      <c r="BB389" t="str">
        <f t="shared" si="21"/>
        <v xml:space="preserve">N690LS  </v>
      </c>
      <c r="BC389">
        <v>1</v>
      </c>
      <c r="BE389">
        <v>0</v>
      </c>
      <c r="BF389">
        <v>0</v>
      </c>
      <c r="BG389">
        <v>0</v>
      </c>
      <c r="BH389">
        <v>8400</v>
      </c>
      <c r="BI389">
        <v>1</v>
      </c>
      <c r="BJ389">
        <v>1</v>
      </c>
      <c r="BK389">
        <v>1</v>
      </c>
      <c r="BL389">
        <v>0</v>
      </c>
      <c r="BO389">
        <v>0</v>
      </c>
      <c r="BP389">
        <v>0</v>
      </c>
      <c r="BW389" t="str">
        <f>"13:53:43.801"</f>
        <v>13:53:43.801</v>
      </c>
      <c r="CJ389">
        <v>0</v>
      </c>
      <c r="CK389">
        <v>2</v>
      </c>
      <c r="CL389">
        <v>0</v>
      </c>
      <c r="CM389">
        <v>2</v>
      </c>
      <c r="CN389">
        <v>0</v>
      </c>
      <c r="CO389">
        <v>7</v>
      </c>
      <c r="CP389" t="s">
        <v>119</v>
      </c>
      <c r="CQ389">
        <v>197</v>
      </c>
      <c r="CR389">
        <v>1</v>
      </c>
      <c r="CW389">
        <v>7171131</v>
      </c>
      <c r="CY389">
        <v>1</v>
      </c>
      <c r="CZ389">
        <v>0</v>
      </c>
      <c r="DA389">
        <v>0</v>
      </c>
      <c r="DB389">
        <v>0</v>
      </c>
      <c r="DC389">
        <v>0</v>
      </c>
      <c r="DD389">
        <v>0</v>
      </c>
      <c r="DE389">
        <v>0</v>
      </c>
      <c r="DF389">
        <v>0</v>
      </c>
      <c r="DG389">
        <v>0</v>
      </c>
      <c r="DH389">
        <v>0</v>
      </c>
      <c r="DI389">
        <v>0</v>
      </c>
    </row>
    <row r="390" spans="1:113" x14ac:dyDescent="0.3">
      <c r="A390" t="str">
        <f>"09/28/2021 13:53:44.088"</f>
        <v>09/28/2021 13:53:44.088</v>
      </c>
      <c r="C390" t="str">
        <f t="shared" si="20"/>
        <v>FFDFD3C0</v>
      </c>
      <c r="D390" t="s">
        <v>120</v>
      </c>
      <c r="E390">
        <v>12</v>
      </c>
      <c r="F390">
        <v>1012</v>
      </c>
      <c r="G390" t="s">
        <v>114</v>
      </c>
      <c r="J390" t="s">
        <v>121</v>
      </c>
      <c r="K390">
        <v>0</v>
      </c>
      <c r="L390">
        <v>3</v>
      </c>
      <c r="M390">
        <v>0</v>
      </c>
      <c r="N390">
        <v>2</v>
      </c>
      <c r="O390">
        <v>1</v>
      </c>
      <c r="P390">
        <v>0</v>
      </c>
      <c r="Q390">
        <v>0</v>
      </c>
      <c r="S390" t="str">
        <f>"13:53:43.797"</f>
        <v>13:53:43.797</v>
      </c>
      <c r="T390" t="str">
        <f>"13:53:43.397"</f>
        <v>13:53:43.397</v>
      </c>
      <c r="U390" t="str">
        <f t="shared" si="22"/>
        <v>A92BC1</v>
      </c>
      <c r="V390">
        <v>0</v>
      </c>
      <c r="W390">
        <v>0</v>
      </c>
      <c r="X390">
        <v>2</v>
      </c>
      <c r="Z390">
        <v>0</v>
      </c>
      <c r="AA390">
        <v>9</v>
      </c>
      <c r="AB390">
        <v>3</v>
      </c>
      <c r="AC390">
        <v>0</v>
      </c>
      <c r="AD390">
        <v>10</v>
      </c>
      <c r="AE390">
        <v>0</v>
      </c>
      <c r="AF390">
        <v>3</v>
      </c>
      <c r="AG390">
        <v>2</v>
      </c>
      <c r="AH390">
        <v>0</v>
      </c>
      <c r="AI390" t="s">
        <v>490</v>
      </c>
      <c r="AJ390">
        <v>45.719154000000003</v>
      </c>
      <c r="AK390" t="s">
        <v>491</v>
      </c>
      <c r="AL390">
        <v>-89.398971000000003</v>
      </c>
      <c r="AM390">
        <v>100</v>
      </c>
      <c r="AN390">
        <v>8200</v>
      </c>
      <c r="AO390" t="s">
        <v>118</v>
      </c>
      <c r="AP390">
        <v>131</v>
      </c>
      <c r="AQ390">
        <v>108</v>
      </c>
      <c r="AR390">
        <v>1920</v>
      </c>
      <c r="AZ390">
        <v>1200</v>
      </c>
      <c r="BA390">
        <v>1</v>
      </c>
      <c r="BB390" t="str">
        <f t="shared" si="21"/>
        <v xml:space="preserve">N690LS  </v>
      </c>
      <c r="BC390">
        <v>1</v>
      </c>
      <c r="BE390">
        <v>0</v>
      </c>
      <c r="BF390">
        <v>0</v>
      </c>
      <c r="BG390">
        <v>0</v>
      </c>
      <c r="BH390">
        <v>8400</v>
      </c>
      <c r="BI390">
        <v>1</v>
      </c>
      <c r="BJ390">
        <v>1</v>
      </c>
      <c r="BK390">
        <v>1</v>
      </c>
      <c r="BL390">
        <v>0</v>
      </c>
      <c r="BO390">
        <v>0</v>
      </c>
      <c r="BP390">
        <v>0</v>
      </c>
      <c r="BW390" t="str">
        <f>"13:53:43.801"</f>
        <v>13:53:43.801</v>
      </c>
      <c r="CJ390">
        <v>0</v>
      </c>
      <c r="CK390">
        <v>2</v>
      </c>
      <c r="CL390">
        <v>0</v>
      </c>
      <c r="CM390">
        <v>2</v>
      </c>
      <c r="CN390">
        <v>0</v>
      </c>
      <c r="CO390">
        <v>7</v>
      </c>
      <c r="CP390" t="s">
        <v>119</v>
      </c>
      <c r="CQ390">
        <v>197</v>
      </c>
      <c r="CR390">
        <v>1</v>
      </c>
      <c r="CW390">
        <v>7171131</v>
      </c>
      <c r="CY390">
        <v>1</v>
      </c>
      <c r="CZ390">
        <v>0</v>
      </c>
      <c r="DA390">
        <v>1</v>
      </c>
      <c r="DB390">
        <v>0</v>
      </c>
      <c r="DC390">
        <v>0</v>
      </c>
      <c r="DD390">
        <v>0</v>
      </c>
      <c r="DE390">
        <v>0</v>
      </c>
      <c r="DF390">
        <v>0</v>
      </c>
      <c r="DG390">
        <v>0</v>
      </c>
      <c r="DH390">
        <v>0</v>
      </c>
      <c r="DI390">
        <v>0</v>
      </c>
    </row>
    <row r="391" spans="1:113" x14ac:dyDescent="0.3">
      <c r="A391" t="str">
        <f>"09/28/2021 13:53:45.151"</f>
        <v>09/28/2021 13:53:45.151</v>
      </c>
      <c r="C391" t="str">
        <f t="shared" si="20"/>
        <v>FFDFD3C0</v>
      </c>
      <c r="D391" t="s">
        <v>113</v>
      </c>
      <c r="E391">
        <v>7</v>
      </c>
      <c r="H391">
        <v>170</v>
      </c>
      <c r="I391" t="s">
        <v>114</v>
      </c>
      <c r="J391" t="s">
        <v>115</v>
      </c>
      <c r="K391">
        <v>0</v>
      </c>
      <c r="L391">
        <v>3</v>
      </c>
      <c r="M391">
        <v>0</v>
      </c>
      <c r="N391">
        <v>2</v>
      </c>
      <c r="O391">
        <v>1</v>
      </c>
      <c r="P391">
        <v>0</v>
      </c>
      <c r="Q391">
        <v>0</v>
      </c>
      <c r="S391" t="str">
        <f>"13:53:44.906"</f>
        <v>13:53:44.906</v>
      </c>
      <c r="T391" t="str">
        <f>"13:53:44.406"</f>
        <v>13:53:44.406</v>
      </c>
      <c r="U391" t="str">
        <f t="shared" si="22"/>
        <v>A92BC1</v>
      </c>
      <c r="V391">
        <v>0</v>
      </c>
      <c r="W391">
        <v>0</v>
      </c>
      <c r="X391">
        <v>2</v>
      </c>
      <c r="Z391">
        <v>0</v>
      </c>
      <c r="AA391">
        <v>9</v>
      </c>
      <c r="AB391">
        <v>3</v>
      </c>
      <c r="AC391">
        <v>0</v>
      </c>
      <c r="AD391">
        <v>10</v>
      </c>
      <c r="AE391">
        <v>0</v>
      </c>
      <c r="AF391">
        <v>3</v>
      </c>
      <c r="AG391">
        <v>2</v>
      </c>
      <c r="AH391">
        <v>0</v>
      </c>
      <c r="AI391" t="s">
        <v>492</v>
      </c>
      <c r="AJ391">
        <v>45.71969</v>
      </c>
      <c r="AK391" t="s">
        <v>493</v>
      </c>
      <c r="AL391">
        <v>-89.398026000000002</v>
      </c>
      <c r="AM391">
        <v>100</v>
      </c>
      <c r="AN391">
        <v>8200</v>
      </c>
      <c r="AO391" t="s">
        <v>118</v>
      </c>
      <c r="AP391">
        <v>131</v>
      </c>
      <c r="AQ391">
        <v>109</v>
      </c>
      <c r="AR391">
        <v>1920</v>
      </c>
      <c r="AZ391">
        <v>1200</v>
      </c>
      <c r="BA391">
        <v>1</v>
      </c>
      <c r="BB391" t="str">
        <f t="shared" si="21"/>
        <v xml:space="preserve">N690LS  </v>
      </c>
      <c r="BC391">
        <v>1</v>
      </c>
      <c r="BE391">
        <v>0</v>
      </c>
      <c r="BF391">
        <v>0</v>
      </c>
      <c r="BG391">
        <v>0</v>
      </c>
      <c r="BH391">
        <v>8425</v>
      </c>
      <c r="BI391">
        <v>1</v>
      </c>
      <c r="BJ391">
        <v>1</v>
      </c>
      <c r="BK391">
        <v>1</v>
      </c>
      <c r="BL391">
        <v>0</v>
      </c>
      <c r="BO391">
        <v>0</v>
      </c>
      <c r="BP391">
        <v>0</v>
      </c>
      <c r="BW391" t="str">
        <f>"13:53:44.910"</f>
        <v>13:53:44.910</v>
      </c>
      <c r="CJ391">
        <v>0</v>
      </c>
      <c r="CK391">
        <v>2</v>
      </c>
      <c r="CL391">
        <v>0</v>
      </c>
      <c r="CM391">
        <v>2</v>
      </c>
      <c r="CN391">
        <v>0</v>
      </c>
      <c r="CO391">
        <v>7</v>
      </c>
      <c r="CP391" t="s">
        <v>119</v>
      </c>
      <c r="CQ391">
        <v>197</v>
      </c>
      <c r="CR391">
        <v>1</v>
      </c>
      <c r="CW391">
        <v>7172343</v>
      </c>
      <c r="CY391">
        <v>1</v>
      </c>
      <c r="CZ391">
        <v>0</v>
      </c>
      <c r="DA391">
        <v>0</v>
      </c>
      <c r="DB391">
        <v>0</v>
      </c>
      <c r="DC391">
        <v>0</v>
      </c>
      <c r="DD391">
        <v>0</v>
      </c>
      <c r="DE391">
        <v>0</v>
      </c>
      <c r="DF391">
        <v>0</v>
      </c>
      <c r="DG391">
        <v>0</v>
      </c>
      <c r="DH391">
        <v>0</v>
      </c>
      <c r="DI391">
        <v>0</v>
      </c>
    </row>
    <row r="392" spans="1:113" x14ac:dyDescent="0.3">
      <c r="A392" t="str">
        <f>"09/28/2021 13:53:45.151"</f>
        <v>09/28/2021 13:53:45.151</v>
      </c>
      <c r="C392" t="str">
        <f t="shared" si="20"/>
        <v>FFDFD3C0</v>
      </c>
      <c r="D392" t="s">
        <v>120</v>
      </c>
      <c r="E392">
        <v>12</v>
      </c>
      <c r="F392">
        <v>1012</v>
      </c>
      <c r="G392" t="s">
        <v>114</v>
      </c>
      <c r="J392" t="s">
        <v>121</v>
      </c>
      <c r="K392">
        <v>0</v>
      </c>
      <c r="L392">
        <v>3</v>
      </c>
      <c r="M392">
        <v>0</v>
      </c>
      <c r="N392">
        <v>2</v>
      </c>
      <c r="O392">
        <v>1</v>
      </c>
      <c r="P392">
        <v>0</v>
      </c>
      <c r="Q392">
        <v>0</v>
      </c>
      <c r="S392" t="str">
        <f>"13:53:44.906"</f>
        <v>13:53:44.906</v>
      </c>
      <c r="T392" t="str">
        <f>"13:53:44.406"</f>
        <v>13:53:44.406</v>
      </c>
      <c r="U392" t="str">
        <f t="shared" si="22"/>
        <v>A92BC1</v>
      </c>
      <c r="V392">
        <v>0</v>
      </c>
      <c r="W392">
        <v>0</v>
      </c>
      <c r="X392">
        <v>2</v>
      </c>
      <c r="Z392">
        <v>0</v>
      </c>
      <c r="AA392">
        <v>9</v>
      </c>
      <c r="AB392">
        <v>3</v>
      </c>
      <c r="AC392">
        <v>0</v>
      </c>
      <c r="AD392">
        <v>10</v>
      </c>
      <c r="AE392">
        <v>0</v>
      </c>
      <c r="AF392">
        <v>3</v>
      </c>
      <c r="AG392">
        <v>2</v>
      </c>
      <c r="AH392">
        <v>0</v>
      </c>
      <c r="AI392" t="s">
        <v>492</v>
      </c>
      <c r="AJ392">
        <v>45.71969</v>
      </c>
      <c r="AK392" t="s">
        <v>493</v>
      </c>
      <c r="AL392">
        <v>-89.398026000000002</v>
      </c>
      <c r="AM392">
        <v>100</v>
      </c>
      <c r="AN392">
        <v>8200</v>
      </c>
      <c r="AO392" t="s">
        <v>118</v>
      </c>
      <c r="AP392">
        <v>131</v>
      </c>
      <c r="AQ392">
        <v>109</v>
      </c>
      <c r="AR392">
        <v>1920</v>
      </c>
      <c r="AZ392">
        <v>1200</v>
      </c>
      <c r="BA392">
        <v>1</v>
      </c>
      <c r="BB392" t="str">
        <f t="shared" si="21"/>
        <v xml:space="preserve">N690LS  </v>
      </c>
      <c r="BC392">
        <v>1</v>
      </c>
      <c r="BE392">
        <v>0</v>
      </c>
      <c r="BF392">
        <v>0</v>
      </c>
      <c r="BG392">
        <v>0</v>
      </c>
      <c r="BH392">
        <v>8425</v>
      </c>
      <c r="BI392">
        <v>1</v>
      </c>
      <c r="BJ392">
        <v>1</v>
      </c>
      <c r="BK392">
        <v>1</v>
      </c>
      <c r="BL392">
        <v>0</v>
      </c>
      <c r="BO392">
        <v>0</v>
      </c>
      <c r="BP392">
        <v>0</v>
      </c>
      <c r="BW392" t="str">
        <f>"13:53:44.910"</f>
        <v>13:53:44.910</v>
      </c>
      <c r="CJ392">
        <v>0</v>
      </c>
      <c r="CK392">
        <v>2</v>
      </c>
      <c r="CL392">
        <v>0</v>
      </c>
      <c r="CM392">
        <v>2</v>
      </c>
      <c r="CN392">
        <v>0</v>
      </c>
      <c r="CO392">
        <v>7</v>
      </c>
      <c r="CP392" t="s">
        <v>119</v>
      </c>
      <c r="CQ392">
        <v>197</v>
      </c>
      <c r="CR392">
        <v>1</v>
      </c>
      <c r="CW392">
        <v>7172343</v>
      </c>
      <c r="CY392">
        <v>1</v>
      </c>
      <c r="CZ392">
        <v>0</v>
      </c>
      <c r="DA392">
        <v>1</v>
      </c>
      <c r="DB392">
        <v>0</v>
      </c>
      <c r="DC392">
        <v>0</v>
      </c>
      <c r="DD392">
        <v>0</v>
      </c>
      <c r="DE392">
        <v>0</v>
      </c>
      <c r="DF392">
        <v>0</v>
      </c>
      <c r="DG392">
        <v>0</v>
      </c>
      <c r="DH392">
        <v>0</v>
      </c>
      <c r="DI392">
        <v>0</v>
      </c>
    </row>
    <row r="393" spans="1:113" x14ac:dyDescent="0.3">
      <c r="A393" t="str">
        <f>"09/28/2021 13:53:46.104"</f>
        <v>09/28/2021 13:53:46.104</v>
      </c>
      <c r="C393" t="str">
        <f t="shared" si="20"/>
        <v>FFDFD3C0</v>
      </c>
      <c r="D393" t="s">
        <v>120</v>
      </c>
      <c r="E393">
        <v>12</v>
      </c>
      <c r="F393">
        <v>1012</v>
      </c>
      <c r="G393" t="s">
        <v>114</v>
      </c>
      <c r="J393" t="s">
        <v>121</v>
      </c>
      <c r="K393">
        <v>0</v>
      </c>
      <c r="L393">
        <v>3</v>
      </c>
      <c r="M393">
        <v>0</v>
      </c>
      <c r="N393">
        <v>2</v>
      </c>
      <c r="O393">
        <v>1</v>
      </c>
      <c r="P393">
        <v>0</v>
      </c>
      <c r="Q393">
        <v>0</v>
      </c>
      <c r="S393" t="str">
        <f>"13:53:45.922"</f>
        <v>13:53:45.922</v>
      </c>
      <c r="T393" t="str">
        <f>"13:53:45.422"</f>
        <v>13:53:45.422</v>
      </c>
      <c r="U393" t="str">
        <f t="shared" si="22"/>
        <v>A92BC1</v>
      </c>
      <c r="V393">
        <v>0</v>
      </c>
      <c r="W393">
        <v>0</v>
      </c>
      <c r="X393">
        <v>2</v>
      </c>
      <c r="Z393">
        <v>0</v>
      </c>
      <c r="AA393">
        <v>9</v>
      </c>
      <c r="AB393">
        <v>3</v>
      </c>
      <c r="AC393">
        <v>0</v>
      </c>
      <c r="AD393">
        <v>10</v>
      </c>
      <c r="AE393">
        <v>0</v>
      </c>
      <c r="AF393">
        <v>3</v>
      </c>
      <c r="AG393">
        <v>2</v>
      </c>
      <c r="AH393">
        <v>0</v>
      </c>
      <c r="AI393" t="s">
        <v>494</v>
      </c>
      <c r="AJ393">
        <v>45.720247999999998</v>
      </c>
      <c r="AK393" t="s">
        <v>495</v>
      </c>
      <c r="AL393">
        <v>-89.397018000000003</v>
      </c>
      <c r="AM393">
        <v>100</v>
      </c>
      <c r="AN393">
        <v>8300</v>
      </c>
      <c r="AO393" t="s">
        <v>118</v>
      </c>
      <c r="AP393">
        <v>131</v>
      </c>
      <c r="AQ393">
        <v>109</v>
      </c>
      <c r="AR393">
        <v>1920</v>
      </c>
      <c r="AZ393">
        <v>1200</v>
      </c>
      <c r="BA393">
        <v>1</v>
      </c>
      <c r="BB393" t="str">
        <f t="shared" si="21"/>
        <v xml:space="preserve">N690LS  </v>
      </c>
      <c r="BC393">
        <v>1</v>
      </c>
      <c r="BE393">
        <v>0</v>
      </c>
      <c r="BF393">
        <v>0</v>
      </c>
      <c r="BG393">
        <v>0</v>
      </c>
      <c r="BH393">
        <v>8475</v>
      </c>
      <c r="BI393">
        <v>1</v>
      </c>
      <c r="BJ393">
        <v>1</v>
      </c>
      <c r="BK393">
        <v>1</v>
      </c>
      <c r="BL393">
        <v>0</v>
      </c>
      <c r="BO393">
        <v>0</v>
      </c>
      <c r="BP393">
        <v>0</v>
      </c>
      <c r="BW393" t="str">
        <f>"13:53:45.929"</f>
        <v>13:53:45.929</v>
      </c>
      <c r="CJ393">
        <v>0</v>
      </c>
      <c r="CK393">
        <v>2</v>
      </c>
      <c r="CL393">
        <v>0</v>
      </c>
      <c r="CM393">
        <v>2</v>
      </c>
      <c r="CN393">
        <v>0</v>
      </c>
      <c r="CO393">
        <v>7</v>
      </c>
      <c r="CP393" t="s">
        <v>119</v>
      </c>
      <c r="CQ393">
        <v>197</v>
      </c>
      <c r="CR393">
        <v>1</v>
      </c>
      <c r="CW393">
        <v>7173495</v>
      </c>
      <c r="CY393">
        <v>1</v>
      </c>
      <c r="CZ393">
        <v>0</v>
      </c>
      <c r="DA393">
        <v>0</v>
      </c>
      <c r="DB393">
        <v>0</v>
      </c>
      <c r="DC393">
        <v>0</v>
      </c>
      <c r="DD393">
        <v>0</v>
      </c>
      <c r="DE393">
        <v>0</v>
      </c>
      <c r="DF393">
        <v>0</v>
      </c>
      <c r="DG393">
        <v>0</v>
      </c>
      <c r="DH393">
        <v>0</v>
      </c>
      <c r="DI393">
        <v>0</v>
      </c>
    </row>
    <row r="394" spans="1:113" x14ac:dyDescent="0.3">
      <c r="A394" t="str">
        <f>"09/28/2021 13:53:46.151"</f>
        <v>09/28/2021 13:53:46.151</v>
      </c>
      <c r="C394" t="str">
        <f t="shared" si="20"/>
        <v>FFDFD3C0</v>
      </c>
      <c r="D394" t="s">
        <v>113</v>
      </c>
      <c r="E394">
        <v>7</v>
      </c>
      <c r="H394">
        <v>170</v>
      </c>
      <c r="I394" t="s">
        <v>114</v>
      </c>
      <c r="J394" t="s">
        <v>115</v>
      </c>
      <c r="K394">
        <v>0</v>
      </c>
      <c r="L394">
        <v>3</v>
      </c>
      <c r="M394">
        <v>0</v>
      </c>
      <c r="N394">
        <v>2</v>
      </c>
      <c r="O394">
        <v>1</v>
      </c>
      <c r="P394">
        <v>0</v>
      </c>
      <c r="Q394">
        <v>0</v>
      </c>
      <c r="S394" t="str">
        <f>"13:53:45.922"</f>
        <v>13:53:45.922</v>
      </c>
      <c r="T394" t="str">
        <f>"13:53:45.422"</f>
        <v>13:53:45.422</v>
      </c>
      <c r="U394" t="str">
        <f t="shared" si="22"/>
        <v>A92BC1</v>
      </c>
      <c r="V394">
        <v>0</v>
      </c>
      <c r="W394">
        <v>0</v>
      </c>
      <c r="X394">
        <v>2</v>
      </c>
      <c r="Z394">
        <v>0</v>
      </c>
      <c r="AA394">
        <v>9</v>
      </c>
      <c r="AB394">
        <v>3</v>
      </c>
      <c r="AC394">
        <v>0</v>
      </c>
      <c r="AD394">
        <v>10</v>
      </c>
      <c r="AE394">
        <v>0</v>
      </c>
      <c r="AF394">
        <v>3</v>
      </c>
      <c r="AG394">
        <v>2</v>
      </c>
      <c r="AH394">
        <v>0</v>
      </c>
      <c r="AI394" t="s">
        <v>494</v>
      </c>
      <c r="AJ394">
        <v>45.720247999999998</v>
      </c>
      <c r="AK394" t="s">
        <v>495</v>
      </c>
      <c r="AL394">
        <v>-89.397018000000003</v>
      </c>
      <c r="AM394">
        <v>100</v>
      </c>
      <c r="AN394">
        <v>8300</v>
      </c>
      <c r="AO394" t="s">
        <v>118</v>
      </c>
      <c r="AP394">
        <v>131</v>
      </c>
      <c r="AQ394">
        <v>109</v>
      </c>
      <c r="AR394">
        <v>1920</v>
      </c>
      <c r="AZ394">
        <v>1200</v>
      </c>
      <c r="BA394">
        <v>1</v>
      </c>
      <c r="BB394" t="str">
        <f t="shared" si="21"/>
        <v xml:space="preserve">N690LS  </v>
      </c>
      <c r="BC394">
        <v>1</v>
      </c>
      <c r="BE394">
        <v>0</v>
      </c>
      <c r="BF394">
        <v>0</v>
      </c>
      <c r="BG394">
        <v>0</v>
      </c>
      <c r="BH394">
        <v>8475</v>
      </c>
      <c r="BI394">
        <v>1</v>
      </c>
      <c r="BJ394">
        <v>1</v>
      </c>
      <c r="BK394">
        <v>1</v>
      </c>
      <c r="BL394">
        <v>0</v>
      </c>
      <c r="BO394">
        <v>0</v>
      </c>
      <c r="BP394">
        <v>0</v>
      </c>
      <c r="BW394" t="str">
        <f>"13:53:45.929"</f>
        <v>13:53:45.929</v>
      </c>
      <c r="CJ394">
        <v>0</v>
      </c>
      <c r="CK394">
        <v>2</v>
      </c>
      <c r="CL394">
        <v>0</v>
      </c>
      <c r="CM394">
        <v>2</v>
      </c>
      <c r="CN394">
        <v>0</v>
      </c>
      <c r="CO394">
        <v>7</v>
      </c>
      <c r="CP394" t="s">
        <v>119</v>
      </c>
      <c r="CQ394">
        <v>197</v>
      </c>
      <c r="CR394">
        <v>1</v>
      </c>
      <c r="CW394">
        <v>7173495</v>
      </c>
      <c r="CY394">
        <v>1</v>
      </c>
      <c r="CZ394">
        <v>0</v>
      </c>
      <c r="DA394">
        <v>1</v>
      </c>
      <c r="DB394">
        <v>0</v>
      </c>
      <c r="DC394">
        <v>0</v>
      </c>
      <c r="DD394">
        <v>0</v>
      </c>
      <c r="DE394">
        <v>0</v>
      </c>
      <c r="DF394">
        <v>0</v>
      </c>
      <c r="DG394">
        <v>0</v>
      </c>
      <c r="DH394">
        <v>0</v>
      </c>
      <c r="DI394">
        <v>0</v>
      </c>
    </row>
    <row r="395" spans="1:113" x14ac:dyDescent="0.3">
      <c r="A395" t="str">
        <f>"09/28/2021 13:53:47.212"</f>
        <v>09/28/2021 13:53:47.212</v>
      </c>
      <c r="C395" t="str">
        <f t="shared" si="20"/>
        <v>FFDFD3C0</v>
      </c>
      <c r="D395" t="s">
        <v>113</v>
      </c>
      <c r="E395">
        <v>7</v>
      </c>
      <c r="H395">
        <v>170</v>
      </c>
      <c r="I395" t="s">
        <v>114</v>
      </c>
      <c r="J395" t="s">
        <v>115</v>
      </c>
      <c r="K395">
        <v>0</v>
      </c>
      <c r="L395">
        <v>3</v>
      </c>
      <c r="M395">
        <v>0</v>
      </c>
      <c r="N395">
        <v>2</v>
      </c>
      <c r="O395">
        <v>1</v>
      </c>
      <c r="P395">
        <v>0</v>
      </c>
      <c r="Q395">
        <v>0</v>
      </c>
      <c r="S395" t="str">
        <f>"13:53:46.922"</f>
        <v>13:53:46.922</v>
      </c>
      <c r="T395" t="str">
        <f>"13:53:46.522"</f>
        <v>13:53:46.522</v>
      </c>
      <c r="U395" t="str">
        <f t="shared" si="22"/>
        <v>A92BC1</v>
      </c>
      <c r="V395">
        <v>0</v>
      </c>
      <c r="W395">
        <v>0</v>
      </c>
      <c r="X395">
        <v>2</v>
      </c>
      <c r="Z395">
        <v>0</v>
      </c>
      <c r="AA395">
        <v>9</v>
      </c>
      <c r="AB395">
        <v>3</v>
      </c>
      <c r="AC395">
        <v>0</v>
      </c>
      <c r="AD395">
        <v>10</v>
      </c>
      <c r="AE395">
        <v>0</v>
      </c>
      <c r="AF395">
        <v>3</v>
      </c>
      <c r="AG395">
        <v>2</v>
      </c>
      <c r="AH395">
        <v>0</v>
      </c>
      <c r="AI395" t="s">
        <v>496</v>
      </c>
      <c r="AJ395">
        <v>45.720742000000001</v>
      </c>
      <c r="AK395" t="s">
        <v>497</v>
      </c>
      <c r="AL395">
        <v>-89.396224000000004</v>
      </c>
      <c r="AM395">
        <v>100</v>
      </c>
      <c r="AN395">
        <v>8300</v>
      </c>
      <c r="AO395" t="s">
        <v>118</v>
      </c>
      <c r="AP395">
        <v>131</v>
      </c>
      <c r="AQ395">
        <v>109</v>
      </c>
      <c r="AR395">
        <v>1920</v>
      </c>
      <c r="AZ395">
        <v>1200</v>
      </c>
      <c r="BA395">
        <v>1</v>
      </c>
      <c r="BB395" t="str">
        <f t="shared" si="21"/>
        <v xml:space="preserve">N690LS  </v>
      </c>
      <c r="BC395">
        <v>1</v>
      </c>
      <c r="BE395">
        <v>0</v>
      </c>
      <c r="BF395">
        <v>0</v>
      </c>
      <c r="BG395">
        <v>0</v>
      </c>
      <c r="BH395">
        <v>8500</v>
      </c>
      <c r="BI395">
        <v>1</v>
      </c>
      <c r="BJ395">
        <v>1</v>
      </c>
      <c r="BK395">
        <v>1</v>
      </c>
      <c r="BL395">
        <v>0</v>
      </c>
      <c r="BO395">
        <v>0</v>
      </c>
      <c r="BP395">
        <v>0</v>
      </c>
      <c r="BW395" t="str">
        <f>"13:53:46.929"</f>
        <v>13:53:46.929</v>
      </c>
      <c r="CJ395">
        <v>0</v>
      </c>
      <c r="CK395">
        <v>2</v>
      </c>
      <c r="CL395">
        <v>0</v>
      </c>
      <c r="CM395">
        <v>2</v>
      </c>
      <c r="CN395">
        <v>0</v>
      </c>
      <c r="CO395">
        <v>7</v>
      </c>
      <c r="CP395" t="s">
        <v>119</v>
      </c>
      <c r="CQ395">
        <v>197</v>
      </c>
      <c r="CR395">
        <v>2</v>
      </c>
      <c r="CW395">
        <v>2265054</v>
      </c>
      <c r="CY395">
        <v>1</v>
      </c>
      <c r="CZ395">
        <v>0</v>
      </c>
      <c r="DA395">
        <v>0</v>
      </c>
      <c r="DB395">
        <v>0</v>
      </c>
      <c r="DC395">
        <v>0</v>
      </c>
      <c r="DD395">
        <v>0</v>
      </c>
      <c r="DE395">
        <v>0</v>
      </c>
      <c r="DF395">
        <v>0</v>
      </c>
      <c r="DG395">
        <v>0</v>
      </c>
      <c r="DH395">
        <v>0</v>
      </c>
      <c r="DI395">
        <v>0</v>
      </c>
    </row>
    <row r="396" spans="1:113" x14ac:dyDescent="0.3">
      <c r="A396" t="str">
        <f>"09/28/2021 13:53:47.212"</f>
        <v>09/28/2021 13:53:47.212</v>
      </c>
      <c r="C396" t="str">
        <f t="shared" si="20"/>
        <v>FFDFD3C0</v>
      </c>
      <c r="D396" t="s">
        <v>120</v>
      </c>
      <c r="E396">
        <v>12</v>
      </c>
      <c r="F396">
        <v>1012</v>
      </c>
      <c r="G396" t="s">
        <v>114</v>
      </c>
      <c r="J396" t="s">
        <v>121</v>
      </c>
      <c r="K396">
        <v>0</v>
      </c>
      <c r="L396">
        <v>3</v>
      </c>
      <c r="M396">
        <v>0</v>
      </c>
      <c r="N396">
        <v>2</v>
      </c>
      <c r="O396">
        <v>1</v>
      </c>
      <c r="P396">
        <v>0</v>
      </c>
      <c r="Q396">
        <v>0</v>
      </c>
      <c r="S396" t="str">
        <f>"13:53:46.922"</f>
        <v>13:53:46.922</v>
      </c>
      <c r="T396" t="str">
        <f>"13:53:46.522"</f>
        <v>13:53:46.522</v>
      </c>
      <c r="U396" t="str">
        <f t="shared" si="22"/>
        <v>A92BC1</v>
      </c>
      <c r="V396">
        <v>0</v>
      </c>
      <c r="W396">
        <v>0</v>
      </c>
      <c r="X396">
        <v>2</v>
      </c>
      <c r="Z396">
        <v>0</v>
      </c>
      <c r="AA396">
        <v>9</v>
      </c>
      <c r="AB396">
        <v>3</v>
      </c>
      <c r="AC396">
        <v>0</v>
      </c>
      <c r="AD396">
        <v>10</v>
      </c>
      <c r="AE396">
        <v>0</v>
      </c>
      <c r="AF396">
        <v>3</v>
      </c>
      <c r="AG396">
        <v>2</v>
      </c>
      <c r="AH396">
        <v>0</v>
      </c>
      <c r="AI396" t="s">
        <v>496</v>
      </c>
      <c r="AJ396">
        <v>45.720742000000001</v>
      </c>
      <c r="AK396" t="s">
        <v>497</v>
      </c>
      <c r="AL396">
        <v>-89.396224000000004</v>
      </c>
      <c r="AM396">
        <v>100</v>
      </c>
      <c r="AN396">
        <v>8300</v>
      </c>
      <c r="AO396" t="s">
        <v>118</v>
      </c>
      <c r="AP396">
        <v>131</v>
      </c>
      <c r="AQ396">
        <v>109</v>
      </c>
      <c r="AR396">
        <v>1920</v>
      </c>
      <c r="AZ396">
        <v>1200</v>
      </c>
      <c r="BA396">
        <v>1</v>
      </c>
      <c r="BB396" t="str">
        <f t="shared" si="21"/>
        <v xml:space="preserve">N690LS  </v>
      </c>
      <c r="BC396">
        <v>1</v>
      </c>
      <c r="BE396">
        <v>0</v>
      </c>
      <c r="BF396">
        <v>0</v>
      </c>
      <c r="BG396">
        <v>0</v>
      </c>
      <c r="BH396">
        <v>8500</v>
      </c>
      <c r="BI396">
        <v>1</v>
      </c>
      <c r="BJ396">
        <v>1</v>
      </c>
      <c r="BK396">
        <v>1</v>
      </c>
      <c r="BL396">
        <v>0</v>
      </c>
      <c r="BO396">
        <v>0</v>
      </c>
      <c r="BP396">
        <v>0</v>
      </c>
      <c r="BW396" t="str">
        <f>"13:53:46.929"</f>
        <v>13:53:46.929</v>
      </c>
      <c r="CJ396">
        <v>0</v>
      </c>
      <c r="CK396">
        <v>2</v>
      </c>
      <c r="CL396">
        <v>0</v>
      </c>
      <c r="CM396">
        <v>2</v>
      </c>
      <c r="CN396">
        <v>0</v>
      </c>
      <c r="CO396">
        <v>7</v>
      </c>
      <c r="CP396" t="s">
        <v>119</v>
      </c>
      <c r="CQ396">
        <v>197</v>
      </c>
      <c r="CR396">
        <v>2</v>
      </c>
      <c r="CW396">
        <v>2265054</v>
      </c>
      <c r="CY396">
        <v>1</v>
      </c>
      <c r="CZ396">
        <v>0</v>
      </c>
      <c r="DA396">
        <v>1</v>
      </c>
      <c r="DB396">
        <v>0</v>
      </c>
      <c r="DC396">
        <v>0</v>
      </c>
      <c r="DD396">
        <v>0</v>
      </c>
      <c r="DE396">
        <v>0</v>
      </c>
      <c r="DF396">
        <v>0</v>
      </c>
      <c r="DG396">
        <v>0</v>
      </c>
      <c r="DH396">
        <v>0</v>
      </c>
      <c r="DI396">
        <v>0</v>
      </c>
    </row>
    <row r="397" spans="1:113" x14ac:dyDescent="0.3">
      <c r="A397" t="str">
        <f>"09/28/2021 13:53:48.087"</f>
        <v>09/28/2021 13:53:48.087</v>
      </c>
      <c r="C397" t="str">
        <f t="shared" si="20"/>
        <v>FFDFD3C0</v>
      </c>
      <c r="D397" t="s">
        <v>120</v>
      </c>
      <c r="E397">
        <v>12</v>
      </c>
      <c r="F397">
        <v>1012</v>
      </c>
      <c r="G397" t="s">
        <v>114</v>
      </c>
      <c r="J397" t="s">
        <v>121</v>
      </c>
      <c r="K397">
        <v>0</v>
      </c>
      <c r="L397">
        <v>3</v>
      </c>
      <c r="M397">
        <v>0</v>
      </c>
      <c r="N397">
        <v>2</v>
      </c>
      <c r="O397">
        <v>1</v>
      </c>
      <c r="P397">
        <v>0</v>
      </c>
      <c r="Q397">
        <v>0</v>
      </c>
      <c r="S397" t="str">
        <f>"13:53:47.867"</f>
        <v>13:53:47.867</v>
      </c>
      <c r="T397" t="str">
        <f>"13:53:47.367"</f>
        <v>13:53:47.367</v>
      </c>
      <c r="U397" t="str">
        <f t="shared" si="22"/>
        <v>A92BC1</v>
      </c>
      <c r="V397">
        <v>0</v>
      </c>
      <c r="W397">
        <v>0</v>
      </c>
      <c r="X397">
        <v>2</v>
      </c>
      <c r="Z397">
        <v>0</v>
      </c>
      <c r="AA397">
        <v>9</v>
      </c>
      <c r="AB397">
        <v>3</v>
      </c>
      <c r="AC397">
        <v>0</v>
      </c>
      <c r="AD397">
        <v>10</v>
      </c>
      <c r="AE397">
        <v>0</v>
      </c>
      <c r="AF397">
        <v>3</v>
      </c>
      <c r="AG397">
        <v>2</v>
      </c>
      <c r="AH397">
        <v>0</v>
      </c>
      <c r="AI397" t="s">
        <v>498</v>
      </c>
      <c r="AJ397">
        <v>45.721192000000002</v>
      </c>
      <c r="AK397" t="s">
        <v>499</v>
      </c>
      <c r="AL397">
        <v>-89.395409000000001</v>
      </c>
      <c r="AM397">
        <v>100</v>
      </c>
      <c r="AN397">
        <v>8300</v>
      </c>
      <c r="AO397" t="s">
        <v>118</v>
      </c>
      <c r="AP397">
        <v>131</v>
      </c>
      <c r="AQ397">
        <v>109</v>
      </c>
      <c r="AR397">
        <v>1920</v>
      </c>
      <c r="AZ397">
        <v>1200</v>
      </c>
      <c r="BA397">
        <v>1</v>
      </c>
      <c r="BB397" t="str">
        <f t="shared" si="21"/>
        <v xml:space="preserve">N690LS  </v>
      </c>
      <c r="BC397">
        <v>1</v>
      </c>
      <c r="BE397">
        <v>0</v>
      </c>
      <c r="BF397">
        <v>0</v>
      </c>
      <c r="BG397">
        <v>0</v>
      </c>
      <c r="BH397">
        <v>8525</v>
      </c>
      <c r="BI397">
        <v>1</v>
      </c>
      <c r="BJ397">
        <v>1</v>
      </c>
      <c r="BK397">
        <v>1</v>
      </c>
      <c r="BL397">
        <v>0</v>
      </c>
      <c r="BO397">
        <v>0</v>
      </c>
      <c r="BP397">
        <v>0</v>
      </c>
      <c r="BW397" t="str">
        <f>"13:53:47.868"</f>
        <v>13:53:47.868</v>
      </c>
      <c r="CJ397">
        <v>0</v>
      </c>
      <c r="CK397">
        <v>2</v>
      </c>
      <c r="CL397">
        <v>0</v>
      </c>
      <c r="CM397">
        <v>2</v>
      </c>
      <c r="CN397">
        <v>0</v>
      </c>
      <c r="CO397">
        <v>7</v>
      </c>
      <c r="CP397" t="s">
        <v>119</v>
      </c>
      <c r="CQ397">
        <v>197</v>
      </c>
      <c r="CR397">
        <v>1</v>
      </c>
      <c r="CW397">
        <v>7175713</v>
      </c>
      <c r="CY397">
        <v>1</v>
      </c>
      <c r="CZ397">
        <v>0</v>
      </c>
      <c r="DA397">
        <v>0</v>
      </c>
      <c r="DB397">
        <v>0</v>
      </c>
      <c r="DC397">
        <v>0</v>
      </c>
      <c r="DD397">
        <v>0</v>
      </c>
      <c r="DE397">
        <v>0</v>
      </c>
      <c r="DF397">
        <v>0</v>
      </c>
      <c r="DG397">
        <v>0</v>
      </c>
      <c r="DH397">
        <v>0</v>
      </c>
      <c r="DI397">
        <v>0</v>
      </c>
    </row>
    <row r="398" spans="1:113" x14ac:dyDescent="0.3">
      <c r="A398" t="str">
        <f>"09/28/2021 13:53:48.087"</f>
        <v>09/28/2021 13:53:48.087</v>
      </c>
      <c r="C398" t="str">
        <f t="shared" si="20"/>
        <v>FFDFD3C0</v>
      </c>
      <c r="D398" t="s">
        <v>113</v>
      </c>
      <c r="E398">
        <v>7</v>
      </c>
      <c r="H398">
        <v>170</v>
      </c>
      <c r="I398" t="s">
        <v>114</v>
      </c>
      <c r="J398" t="s">
        <v>115</v>
      </c>
      <c r="K398">
        <v>0</v>
      </c>
      <c r="L398">
        <v>3</v>
      </c>
      <c r="M398">
        <v>0</v>
      </c>
      <c r="N398">
        <v>2</v>
      </c>
      <c r="O398">
        <v>1</v>
      </c>
      <c r="P398">
        <v>0</v>
      </c>
      <c r="Q398">
        <v>0</v>
      </c>
      <c r="S398" t="str">
        <f>"13:53:47.867"</f>
        <v>13:53:47.867</v>
      </c>
      <c r="T398" t="str">
        <f>"13:53:47.367"</f>
        <v>13:53:47.367</v>
      </c>
      <c r="U398" t="str">
        <f t="shared" si="22"/>
        <v>A92BC1</v>
      </c>
      <c r="V398">
        <v>0</v>
      </c>
      <c r="W398">
        <v>0</v>
      </c>
      <c r="X398">
        <v>2</v>
      </c>
      <c r="Z398">
        <v>0</v>
      </c>
      <c r="AA398">
        <v>9</v>
      </c>
      <c r="AB398">
        <v>3</v>
      </c>
      <c r="AC398">
        <v>0</v>
      </c>
      <c r="AD398">
        <v>10</v>
      </c>
      <c r="AE398">
        <v>0</v>
      </c>
      <c r="AF398">
        <v>3</v>
      </c>
      <c r="AG398">
        <v>2</v>
      </c>
      <c r="AH398">
        <v>0</v>
      </c>
      <c r="AI398" t="s">
        <v>498</v>
      </c>
      <c r="AJ398">
        <v>45.721192000000002</v>
      </c>
      <c r="AK398" t="s">
        <v>499</v>
      </c>
      <c r="AL398">
        <v>-89.395409000000001</v>
      </c>
      <c r="AM398">
        <v>100</v>
      </c>
      <c r="AN398">
        <v>8300</v>
      </c>
      <c r="AO398" t="s">
        <v>118</v>
      </c>
      <c r="AP398">
        <v>131</v>
      </c>
      <c r="AQ398">
        <v>109</v>
      </c>
      <c r="AR398">
        <v>1920</v>
      </c>
      <c r="AZ398">
        <v>1200</v>
      </c>
      <c r="BA398">
        <v>1</v>
      </c>
      <c r="BB398" t="str">
        <f t="shared" si="21"/>
        <v xml:space="preserve">N690LS  </v>
      </c>
      <c r="BC398">
        <v>1</v>
      </c>
      <c r="BE398">
        <v>0</v>
      </c>
      <c r="BF398">
        <v>0</v>
      </c>
      <c r="BG398">
        <v>0</v>
      </c>
      <c r="BH398">
        <v>8525</v>
      </c>
      <c r="BI398">
        <v>1</v>
      </c>
      <c r="BJ398">
        <v>1</v>
      </c>
      <c r="BK398">
        <v>1</v>
      </c>
      <c r="BL398">
        <v>0</v>
      </c>
      <c r="BO398">
        <v>0</v>
      </c>
      <c r="BP398">
        <v>0</v>
      </c>
      <c r="BW398" t="str">
        <f>"13:53:47.868"</f>
        <v>13:53:47.868</v>
      </c>
      <c r="CJ398">
        <v>0</v>
      </c>
      <c r="CK398">
        <v>2</v>
      </c>
      <c r="CL398">
        <v>0</v>
      </c>
      <c r="CM398">
        <v>2</v>
      </c>
      <c r="CN398">
        <v>0</v>
      </c>
      <c r="CO398">
        <v>7</v>
      </c>
      <c r="CP398" t="s">
        <v>119</v>
      </c>
      <c r="CQ398">
        <v>197</v>
      </c>
      <c r="CR398">
        <v>1</v>
      </c>
      <c r="CW398">
        <v>7175713</v>
      </c>
      <c r="CY398">
        <v>1</v>
      </c>
      <c r="CZ398">
        <v>0</v>
      </c>
      <c r="DA398">
        <v>1</v>
      </c>
      <c r="DB398">
        <v>0</v>
      </c>
      <c r="DC398">
        <v>0</v>
      </c>
      <c r="DD398">
        <v>0</v>
      </c>
      <c r="DE398">
        <v>0</v>
      </c>
      <c r="DF398">
        <v>0</v>
      </c>
      <c r="DG398">
        <v>0</v>
      </c>
      <c r="DH398">
        <v>0</v>
      </c>
      <c r="DI398">
        <v>0</v>
      </c>
    </row>
    <row r="399" spans="1:113" x14ac:dyDescent="0.3">
      <c r="A399" t="str">
        <f>"09/28/2021 13:53:49.121"</f>
        <v>09/28/2021 13:53:49.121</v>
      </c>
      <c r="C399" t="str">
        <f t="shared" si="20"/>
        <v>FFDFD3C0</v>
      </c>
      <c r="D399" t="s">
        <v>120</v>
      </c>
      <c r="E399">
        <v>12</v>
      </c>
      <c r="F399">
        <v>1012</v>
      </c>
      <c r="G399" t="s">
        <v>114</v>
      </c>
      <c r="J399" t="s">
        <v>121</v>
      </c>
      <c r="K399">
        <v>0</v>
      </c>
      <c r="L399">
        <v>3</v>
      </c>
      <c r="M399">
        <v>0</v>
      </c>
      <c r="N399">
        <v>2</v>
      </c>
      <c r="O399">
        <v>1</v>
      </c>
      <c r="P399">
        <v>0</v>
      </c>
      <c r="Q399">
        <v>0</v>
      </c>
      <c r="S399" t="str">
        <f>"13:53:48.914"</f>
        <v>13:53:48.914</v>
      </c>
      <c r="T399" t="str">
        <f>"13:53:48.414"</f>
        <v>13:53:48.414</v>
      </c>
      <c r="U399" t="str">
        <f t="shared" si="22"/>
        <v>A92BC1</v>
      </c>
      <c r="V399">
        <v>0</v>
      </c>
      <c r="W399">
        <v>0</v>
      </c>
      <c r="X399">
        <v>2</v>
      </c>
      <c r="Z399">
        <v>0</v>
      </c>
      <c r="AA399">
        <v>9</v>
      </c>
      <c r="AB399">
        <v>3</v>
      </c>
      <c r="AC399">
        <v>0</v>
      </c>
      <c r="AD399">
        <v>10</v>
      </c>
      <c r="AE399">
        <v>0</v>
      </c>
      <c r="AF399">
        <v>3</v>
      </c>
      <c r="AG399">
        <v>2</v>
      </c>
      <c r="AH399">
        <v>0</v>
      </c>
      <c r="AI399" t="s">
        <v>500</v>
      </c>
      <c r="AJ399">
        <v>45.721707000000002</v>
      </c>
      <c r="AK399" t="s">
        <v>501</v>
      </c>
      <c r="AL399">
        <v>-89.394593</v>
      </c>
      <c r="AM399">
        <v>100</v>
      </c>
      <c r="AN399">
        <v>8400</v>
      </c>
      <c r="AO399" t="s">
        <v>118</v>
      </c>
      <c r="AP399">
        <v>131</v>
      </c>
      <c r="AQ399">
        <v>109</v>
      </c>
      <c r="AR399">
        <v>1920</v>
      </c>
      <c r="AZ399">
        <v>1200</v>
      </c>
      <c r="BA399">
        <v>1</v>
      </c>
      <c r="BB399" t="str">
        <f t="shared" si="21"/>
        <v xml:space="preserve">N690LS  </v>
      </c>
      <c r="BC399">
        <v>1</v>
      </c>
      <c r="BE399">
        <v>0</v>
      </c>
      <c r="BF399">
        <v>0</v>
      </c>
      <c r="BG399">
        <v>0</v>
      </c>
      <c r="BH399">
        <v>8550</v>
      </c>
      <c r="BI399">
        <v>1</v>
      </c>
      <c r="BJ399">
        <v>1</v>
      </c>
      <c r="BK399">
        <v>1</v>
      </c>
      <c r="BL399">
        <v>0</v>
      </c>
      <c r="BO399">
        <v>0</v>
      </c>
      <c r="BP399">
        <v>0</v>
      </c>
      <c r="BW399" t="str">
        <f>"13:53:48.921"</f>
        <v>13:53:48.921</v>
      </c>
      <c r="CJ399">
        <v>0</v>
      </c>
      <c r="CK399">
        <v>2</v>
      </c>
      <c r="CL399">
        <v>0</v>
      </c>
      <c r="CM399">
        <v>2</v>
      </c>
      <c r="CN399">
        <v>0</v>
      </c>
      <c r="CO399">
        <v>7</v>
      </c>
      <c r="CP399" t="s">
        <v>119</v>
      </c>
      <c r="CQ399">
        <v>197</v>
      </c>
      <c r="CR399">
        <v>2</v>
      </c>
      <c r="CW399">
        <v>2266702</v>
      </c>
      <c r="CY399">
        <v>1</v>
      </c>
      <c r="CZ399">
        <v>0</v>
      </c>
      <c r="DA399">
        <v>0</v>
      </c>
      <c r="DB399">
        <v>0</v>
      </c>
      <c r="DC399">
        <v>0</v>
      </c>
      <c r="DD399">
        <v>0</v>
      </c>
      <c r="DE399">
        <v>0</v>
      </c>
      <c r="DF399">
        <v>0</v>
      </c>
      <c r="DG399">
        <v>0</v>
      </c>
      <c r="DH399">
        <v>0</v>
      </c>
      <c r="DI399">
        <v>0</v>
      </c>
    </row>
    <row r="400" spans="1:113" x14ac:dyDescent="0.3">
      <c r="A400" t="str">
        <f>"09/28/2021 13:53:49.121"</f>
        <v>09/28/2021 13:53:49.121</v>
      </c>
      <c r="C400" t="str">
        <f t="shared" si="20"/>
        <v>FFDFD3C0</v>
      </c>
      <c r="D400" t="s">
        <v>113</v>
      </c>
      <c r="E400">
        <v>7</v>
      </c>
      <c r="H400">
        <v>170</v>
      </c>
      <c r="I400" t="s">
        <v>114</v>
      </c>
      <c r="J400" t="s">
        <v>115</v>
      </c>
      <c r="K400">
        <v>0</v>
      </c>
      <c r="L400">
        <v>3</v>
      </c>
      <c r="M400">
        <v>0</v>
      </c>
      <c r="N400">
        <v>2</v>
      </c>
      <c r="O400">
        <v>1</v>
      </c>
      <c r="P400">
        <v>0</v>
      </c>
      <c r="Q400">
        <v>0</v>
      </c>
      <c r="S400" t="str">
        <f>"13:53:48.914"</f>
        <v>13:53:48.914</v>
      </c>
      <c r="T400" t="str">
        <f>"13:53:48.414"</f>
        <v>13:53:48.414</v>
      </c>
      <c r="U400" t="str">
        <f t="shared" si="22"/>
        <v>A92BC1</v>
      </c>
      <c r="V400">
        <v>0</v>
      </c>
      <c r="W400">
        <v>0</v>
      </c>
      <c r="X400">
        <v>2</v>
      </c>
      <c r="Z400">
        <v>0</v>
      </c>
      <c r="AA400">
        <v>9</v>
      </c>
      <c r="AB400">
        <v>3</v>
      </c>
      <c r="AC400">
        <v>0</v>
      </c>
      <c r="AD400">
        <v>10</v>
      </c>
      <c r="AE400">
        <v>0</v>
      </c>
      <c r="AF400">
        <v>3</v>
      </c>
      <c r="AG400">
        <v>2</v>
      </c>
      <c r="AH400">
        <v>0</v>
      </c>
      <c r="AI400" t="s">
        <v>500</v>
      </c>
      <c r="AJ400">
        <v>45.721707000000002</v>
      </c>
      <c r="AK400" t="s">
        <v>501</v>
      </c>
      <c r="AL400">
        <v>-89.394593</v>
      </c>
      <c r="AM400">
        <v>100</v>
      </c>
      <c r="AN400">
        <v>8400</v>
      </c>
      <c r="AO400" t="s">
        <v>118</v>
      </c>
      <c r="AP400">
        <v>131</v>
      </c>
      <c r="AQ400">
        <v>109</v>
      </c>
      <c r="AR400">
        <v>1920</v>
      </c>
      <c r="AZ400">
        <v>1200</v>
      </c>
      <c r="BA400">
        <v>1</v>
      </c>
      <c r="BB400" t="str">
        <f t="shared" si="21"/>
        <v xml:space="preserve">N690LS  </v>
      </c>
      <c r="BC400">
        <v>1</v>
      </c>
      <c r="BE400">
        <v>0</v>
      </c>
      <c r="BF400">
        <v>0</v>
      </c>
      <c r="BG400">
        <v>0</v>
      </c>
      <c r="BH400">
        <v>8550</v>
      </c>
      <c r="BI400">
        <v>1</v>
      </c>
      <c r="BJ400">
        <v>1</v>
      </c>
      <c r="BK400">
        <v>1</v>
      </c>
      <c r="BL400">
        <v>0</v>
      </c>
      <c r="BO400">
        <v>0</v>
      </c>
      <c r="BP400">
        <v>0</v>
      </c>
      <c r="BW400" t="str">
        <f>"13:53:48.921"</f>
        <v>13:53:48.921</v>
      </c>
      <c r="CJ400">
        <v>0</v>
      </c>
      <c r="CK400">
        <v>2</v>
      </c>
      <c r="CL400">
        <v>0</v>
      </c>
      <c r="CM400">
        <v>2</v>
      </c>
      <c r="CN400">
        <v>0</v>
      </c>
      <c r="CO400">
        <v>7</v>
      </c>
      <c r="CP400" t="s">
        <v>119</v>
      </c>
      <c r="CQ400">
        <v>197</v>
      </c>
      <c r="CR400">
        <v>2</v>
      </c>
      <c r="CW400">
        <v>2266702</v>
      </c>
      <c r="CY400">
        <v>1</v>
      </c>
      <c r="CZ400">
        <v>0</v>
      </c>
      <c r="DA400">
        <v>1</v>
      </c>
      <c r="DB400">
        <v>0</v>
      </c>
      <c r="DC400">
        <v>0</v>
      </c>
      <c r="DD400">
        <v>0</v>
      </c>
      <c r="DE400">
        <v>0</v>
      </c>
      <c r="DF400">
        <v>0</v>
      </c>
      <c r="DG400">
        <v>0</v>
      </c>
      <c r="DH400">
        <v>0</v>
      </c>
      <c r="DI400">
        <v>0</v>
      </c>
    </row>
    <row r="401" spans="1:113" x14ac:dyDescent="0.3">
      <c r="A401" t="str">
        <f>"09/28/2021 13:53:50.121"</f>
        <v>09/28/2021 13:53:50.121</v>
      </c>
      <c r="C401" t="str">
        <f t="shared" si="20"/>
        <v>FFDFD3C0</v>
      </c>
      <c r="D401" t="s">
        <v>113</v>
      </c>
      <c r="E401">
        <v>7</v>
      </c>
      <c r="H401">
        <v>170</v>
      </c>
      <c r="I401" t="s">
        <v>114</v>
      </c>
      <c r="J401" t="s">
        <v>115</v>
      </c>
      <c r="K401">
        <v>0</v>
      </c>
      <c r="L401">
        <v>3</v>
      </c>
      <c r="M401">
        <v>0</v>
      </c>
      <c r="N401">
        <v>2</v>
      </c>
      <c r="O401">
        <v>1</v>
      </c>
      <c r="P401">
        <v>0</v>
      </c>
      <c r="Q401">
        <v>0</v>
      </c>
      <c r="S401" t="str">
        <f>"13:53:49.906"</f>
        <v>13:53:49.906</v>
      </c>
      <c r="T401" t="str">
        <f>"13:53:49.506"</f>
        <v>13:53:49.506</v>
      </c>
      <c r="U401" t="str">
        <f t="shared" si="22"/>
        <v>A92BC1</v>
      </c>
      <c r="V401">
        <v>0</v>
      </c>
      <c r="W401">
        <v>0</v>
      </c>
      <c r="X401">
        <v>2</v>
      </c>
      <c r="Z401">
        <v>0</v>
      </c>
      <c r="AA401">
        <v>9</v>
      </c>
      <c r="AB401">
        <v>3</v>
      </c>
      <c r="AC401">
        <v>0</v>
      </c>
      <c r="AD401">
        <v>10</v>
      </c>
      <c r="AE401">
        <v>0</v>
      </c>
      <c r="AF401">
        <v>3</v>
      </c>
      <c r="AG401">
        <v>2</v>
      </c>
      <c r="AH401">
        <v>0</v>
      </c>
      <c r="AI401" t="s">
        <v>502</v>
      </c>
      <c r="AJ401">
        <v>45.722200999999998</v>
      </c>
      <c r="AK401" t="s">
        <v>503</v>
      </c>
      <c r="AL401">
        <v>-89.393692000000001</v>
      </c>
      <c r="AM401">
        <v>100</v>
      </c>
      <c r="AN401">
        <v>8400</v>
      </c>
      <c r="AO401" t="s">
        <v>118</v>
      </c>
      <c r="AP401">
        <v>131</v>
      </c>
      <c r="AQ401">
        <v>109</v>
      </c>
      <c r="AR401">
        <v>1920</v>
      </c>
      <c r="AZ401">
        <v>1200</v>
      </c>
      <c r="BA401">
        <v>1</v>
      </c>
      <c r="BB401" t="str">
        <f t="shared" si="21"/>
        <v xml:space="preserve">N690LS  </v>
      </c>
      <c r="BC401">
        <v>1</v>
      </c>
      <c r="BE401">
        <v>0</v>
      </c>
      <c r="BF401">
        <v>0</v>
      </c>
      <c r="BG401">
        <v>0</v>
      </c>
      <c r="BH401">
        <v>8600</v>
      </c>
      <c r="BI401">
        <v>1</v>
      </c>
      <c r="BJ401">
        <v>1</v>
      </c>
      <c r="BK401">
        <v>1</v>
      </c>
      <c r="BL401">
        <v>0</v>
      </c>
      <c r="BO401">
        <v>0</v>
      </c>
      <c r="BP401">
        <v>0</v>
      </c>
      <c r="BW401" t="str">
        <f>"13:53:49.912"</f>
        <v>13:53:49.912</v>
      </c>
      <c r="CJ401">
        <v>0</v>
      </c>
      <c r="CK401">
        <v>2</v>
      </c>
      <c r="CL401">
        <v>0</v>
      </c>
      <c r="CM401">
        <v>2</v>
      </c>
      <c r="CN401">
        <v>0</v>
      </c>
      <c r="CO401">
        <v>7</v>
      </c>
      <c r="CP401" t="s">
        <v>119</v>
      </c>
      <c r="CQ401">
        <v>197</v>
      </c>
      <c r="CR401">
        <v>1</v>
      </c>
      <c r="CW401">
        <v>7177915</v>
      </c>
      <c r="CY401">
        <v>1</v>
      </c>
      <c r="CZ401">
        <v>0</v>
      </c>
      <c r="DA401">
        <v>0</v>
      </c>
      <c r="DB401">
        <v>0</v>
      </c>
      <c r="DC401">
        <v>0</v>
      </c>
      <c r="DD401">
        <v>0</v>
      </c>
      <c r="DE401">
        <v>0</v>
      </c>
      <c r="DF401">
        <v>0</v>
      </c>
      <c r="DG401">
        <v>0</v>
      </c>
      <c r="DH401">
        <v>0</v>
      </c>
      <c r="DI401">
        <v>0</v>
      </c>
    </row>
    <row r="402" spans="1:113" x14ac:dyDescent="0.3">
      <c r="A402" t="str">
        <f>"09/28/2021 13:53:50.137"</f>
        <v>09/28/2021 13:53:50.137</v>
      </c>
      <c r="C402" t="str">
        <f t="shared" si="20"/>
        <v>FFDFD3C0</v>
      </c>
      <c r="D402" t="s">
        <v>120</v>
      </c>
      <c r="E402">
        <v>12</v>
      </c>
      <c r="F402">
        <v>1012</v>
      </c>
      <c r="G402" t="s">
        <v>114</v>
      </c>
      <c r="J402" t="s">
        <v>121</v>
      </c>
      <c r="K402">
        <v>0</v>
      </c>
      <c r="L402">
        <v>3</v>
      </c>
      <c r="M402">
        <v>0</v>
      </c>
      <c r="N402">
        <v>2</v>
      </c>
      <c r="O402">
        <v>1</v>
      </c>
      <c r="P402">
        <v>0</v>
      </c>
      <c r="Q402">
        <v>0</v>
      </c>
      <c r="S402" t="str">
        <f>"13:53:49.906"</f>
        <v>13:53:49.906</v>
      </c>
      <c r="T402" t="str">
        <f>"13:53:49.506"</f>
        <v>13:53:49.506</v>
      </c>
      <c r="U402" t="str">
        <f t="shared" si="22"/>
        <v>A92BC1</v>
      </c>
      <c r="V402">
        <v>0</v>
      </c>
      <c r="W402">
        <v>0</v>
      </c>
      <c r="X402">
        <v>2</v>
      </c>
      <c r="Z402">
        <v>0</v>
      </c>
      <c r="AA402">
        <v>9</v>
      </c>
      <c r="AB402">
        <v>3</v>
      </c>
      <c r="AC402">
        <v>0</v>
      </c>
      <c r="AD402">
        <v>10</v>
      </c>
      <c r="AE402">
        <v>0</v>
      </c>
      <c r="AF402">
        <v>3</v>
      </c>
      <c r="AG402">
        <v>2</v>
      </c>
      <c r="AH402">
        <v>0</v>
      </c>
      <c r="AI402" t="s">
        <v>502</v>
      </c>
      <c r="AJ402">
        <v>45.722200999999998</v>
      </c>
      <c r="AK402" t="s">
        <v>503</v>
      </c>
      <c r="AL402">
        <v>-89.393692000000001</v>
      </c>
      <c r="AM402">
        <v>100</v>
      </c>
      <c r="AN402">
        <v>8400</v>
      </c>
      <c r="AO402" t="s">
        <v>118</v>
      </c>
      <c r="AP402">
        <v>131</v>
      </c>
      <c r="AQ402">
        <v>109</v>
      </c>
      <c r="AR402">
        <v>1920</v>
      </c>
      <c r="AZ402">
        <v>1200</v>
      </c>
      <c r="BA402">
        <v>1</v>
      </c>
      <c r="BB402" t="str">
        <f t="shared" si="21"/>
        <v xml:space="preserve">N690LS  </v>
      </c>
      <c r="BC402">
        <v>1</v>
      </c>
      <c r="BE402">
        <v>0</v>
      </c>
      <c r="BF402">
        <v>0</v>
      </c>
      <c r="BG402">
        <v>0</v>
      </c>
      <c r="BH402">
        <v>8600</v>
      </c>
      <c r="BI402">
        <v>1</v>
      </c>
      <c r="BJ402">
        <v>1</v>
      </c>
      <c r="BK402">
        <v>1</v>
      </c>
      <c r="BL402">
        <v>0</v>
      </c>
      <c r="BO402">
        <v>0</v>
      </c>
      <c r="BP402">
        <v>0</v>
      </c>
      <c r="BW402" t="str">
        <f>"13:53:49.912"</f>
        <v>13:53:49.912</v>
      </c>
      <c r="CJ402">
        <v>0</v>
      </c>
      <c r="CK402">
        <v>2</v>
      </c>
      <c r="CL402">
        <v>0</v>
      </c>
      <c r="CM402">
        <v>2</v>
      </c>
      <c r="CN402">
        <v>0</v>
      </c>
      <c r="CO402">
        <v>7</v>
      </c>
      <c r="CP402" t="s">
        <v>119</v>
      </c>
      <c r="CQ402">
        <v>197</v>
      </c>
      <c r="CR402">
        <v>1</v>
      </c>
      <c r="CW402">
        <v>7177915</v>
      </c>
      <c r="CY402">
        <v>1</v>
      </c>
      <c r="CZ402">
        <v>0</v>
      </c>
      <c r="DA402">
        <v>1</v>
      </c>
      <c r="DB402">
        <v>0</v>
      </c>
      <c r="DC402">
        <v>0</v>
      </c>
      <c r="DD402">
        <v>0</v>
      </c>
      <c r="DE402">
        <v>0</v>
      </c>
      <c r="DF402">
        <v>0</v>
      </c>
      <c r="DG402">
        <v>0</v>
      </c>
      <c r="DH402">
        <v>0</v>
      </c>
      <c r="DI402">
        <v>0</v>
      </c>
    </row>
    <row r="403" spans="1:113" x14ac:dyDescent="0.3">
      <c r="A403" t="str">
        <f>"09/28/2021 13:53:51.247"</f>
        <v>09/28/2021 13:53:51.247</v>
      </c>
      <c r="C403" t="str">
        <f t="shared" si="20"/>
        <v>FFDFD3C0</v>
      </c>
      <c r="D403" t="s">
        <v>113</v>
      </c>
      <c r="E403">
        <v>7</v>
      </c>
      <c r="H403">
        <v>170</v>
      </c>
      <c r="I403" t="s">
        <v>114</v>
      </c>
      <c r="J403" t="s">
        <v>115</v>
      </c>
      <c r="K403">
        <v>0</v>
      </c>
      <c r="L403">
        <v>3</v>
      </c>
      <c r="M403">
        <v>0</v>
      </c>
      <c r="N403">
        <v>2</v>
      </c>
      <c r="O403">
        <v>1</v>
      </c>
      <c r="P403">
        <v>0</v>
      </c>
      <c r="Q403">
        <v>0</v>
      </c>
      <c r="S403" t="str">
        <f>"13:53:51.016"</f>
        <v>13:53:51.016</v>
      </c>
      <c r="T403" t="str">
        <f>"13:53:50.516"</f>
        <v>13:53:50.516</v>
      </c>
      <c r="U403" t="str">
        <f t="shared" si="22"/>
        <v>A92BC1</v>
      </c>
      <c r="V403">
        <v>0</v>
      </c>
      <c r="W403">
        <v>0</v>
      </c>
      <c r="X403">
        <v>2</v>
      </c>
      <c r="Z403">
        <v>0</v>
      </c>
      <c r="AA403">
        <v>9</v>
      </c>
      <c r="AB403">
        <v>3</v>
      </c>
      <c r="AC403">
        <v>0</v>
      </c>
      <c r="AD403">
        <v>10</v>
      </c>
      <c r="AE403">
        <v>0</v>
      </c>
      <c r="AF403">
        <v>3</v>
      </c>
      <c r="AG403">
        <v>2</v>
      </c>
      <c r="AH403">
        <v>0</v>
      </c>
      <c r="AI403" t="s">
        <v>504</v>
      </c>
      <c r="AJ403">
        <v>45.722822999999998</v>
      </c>
      <c r="AK403" t="s">
        <v>505</v>
      </c>
      <c r="AL403">
        <v>-89.392662000000001</v>
      </c>
      <c r="AM403">
        <v>100</v>
      </c>
      <c r="AN403">
        <v>8400</v>
      </c>
      <c r="AO403" t="s">
        <v>118</v>
      </c>
      <c r="AP403">
        <v>131</v>
      </c>
      <c r="AQ403">
        <v>109</v>
      </c>
      <c r="AR403">
        <v>1920</v>
      </c>
      <c r="AZ403">
        <v>1200</v>
      </c>
      <c r="BA403">
        <v>1</v>
      </c>
      <c r="BB403" t="str">
        <f t="shared" si="21"/>
        <v xml:space="preserve">N690LS  </v>
      </c>
      <c r="BC403">
        <v>1</v>
      </c>
      <c r="BE403">
        <v>0</v>
      </c>
      <c r="BF403">
        <v>0</v>
      </c>
      <c r="BG403">
        <v>0</v>
      </c>
      <c r="BH403">
        <v>8625</v>
      </c>
      <c r="BI403">
        <v>1</v>
      </c>
      <c r="BJ403">
        <v>1</v>
      </c>
      <c r="BK403">
        <v>1</v>
      </c>
      <c r="BL403">
        <v>0</v>
      </c>
      <c r="BO403">
        <v>0</v>
      </c>
      <c r="BP403">
        <v>0</v>
      </c>
      <c r="BW403" t="str">
        <f>"13:53:51.023"</f>
        <v>13:53:51.023</v>
      </c>
      <c r="CJ403">
        <v>0</v>
      </c>
      <c r="CK403">
        <v>2</v>
      </c>
      <c r="CL403">
        <v>0</v>
      </c>
      <c r="CM403">
        <v>2</v>
      </c>
      <c r="CN403">
        <v>0</v>
      </c>
      <c r="CO403">
        <v>7</v>
      </c>
      <c r="CP403" t="s">
        <v>119</v>
      </c>
      <c r="CQ403">
        <v>197</v>
      </c>
      <c r="CR403">
        <v>2</v>
      </c>
      <c r="CW403">
        <v>2268580</v>
      </c>
      <c r="CY403">
        <v>1</v>
      </c>
      <c r="CZ403">
        <v>0</v>
      </c>
      <c r="DA403">
        <v>0</v>
      </c>
      <c r="DB403">
        <v>0</v>
      </c>
      <c r="DC403">
        <v>0</v>
      </c>
      <c r="DD403">
        <v>0</v>
      </c>
      <c r="DE403">
        <v>0</v>
      </c>
      <c r="DF403">
        <v>0</v>
      </c>
      <c r="DG403">
        <v>0</v>
      </c>
      <c r="DH403">
        <v>0</v>
      </c>
      <c r="DI403">
        <v>0</v>
      </c>
    </row>
    <row r="404" spans="1:113" x14ac:dyDescent="0.3">
      <c r="A404" t="str">
        <f>"09/28/2021 13:53:51.262"</f>
        <v>09/28/2021 13:53:51.262</v>
      </c>
      <c r="C404" t="str">
        <f t="shared" si="20"/>
        <v>FFDFD3C0</v>
      </c>
      <c r="D404" t="s">
        <v>120</v>
      </c>
      <c r="E404">
        <v>12</v>
      </c>
      <c r="F404">
        <v>1012</v>
      </c>
      <c r="G404" t="s">
        <v>114</v>
      </c>
      <c r="J404" t="s">
        <v>121</v>
      </c>
      <c r="K404">
        <v>0</v>
      </c>
      <c r="L404">
        <v>3</v>
      </c>
      <c r="M404">
        <v>0</v>
      </c>
      <c r="N404">
        <v>2</v>
      </c>
      <c r="O404">
        <v>1</v>
      </c>
      <c r="P404">
        <v>0</v>
      </c>
      <c r="Q404">
        <v>0</v>
      </c>
      <c r="S404" t="str">
        <f>"13:53:51.016"</f>
        <v>13:53:51.016</v>
      </c>
      <c r="T404" t="str">
        <f>"13:53:50.516"</f>
        <v>13:53:50.516</v>
      </c>
      <c r="U404" t="str">
        <f t="shared" si="22"/>
        <v>A92BC1</v>
      </c>
      <c r="V404">
        <v>0</v>
      </c>
      <c r="W404">
        <v>0</v>
      </c>
      <c r="X404">
        <v>2</v>
      </c>
      <c r="Z404">
        <v>0</v>
      </c>
      <c r="AA404">
        <v>9</v>
      </c>
      <c r="AB404">
        <v>3</v>
      </c>
      <c r="AC404">
        <v>0</v>
      </c>
      <c r="AD404">
        <v>10</v>
      </c>
      <c r="AE404">
        <v>0</v>
      </c>
      <c r="AF404">
        <v>3</v>
      </c>
      <c r="AG404">
        <v>2</v>
      </c>
      <c r="AH404">
        <v>0</v>
      </c>
      <c r="AI404" t="s">
        <v>504</v>
      </c>
      <c r="AJ404">
        <v>45.722822999999998</v>
      </c>
      <c r="AK404" t="s">
        <v>505</v>
      </c>
      <c r="AL404">
        <v>-89.392662000000001</v>
      </c>
      <c r="AM404">
        <v>100</v>
      </c>
      <c r="AN404">
        <v>8400</v>
      </c>
      <c r="AO404" t="s">
        <v>118</v>
      </c>
      <c r="AP404">
        <v>131</v>
      </c>
      <c r="AQ404">
        <v>109</v>
      </c>
      <c r="AR404">
        <v>1920</v>
      </c>
      <c r="AZ404">
        <v>1200</v>
      </c>
      <c r="BA404">
        <v>1</v>
      </c>
      <c r="BB404" t="str">
        <f t="shared" si="21"/>
        <v xml:space="preserve">N690LS  </v>
      </c>
      <c r="BC404">
        <v>1</v>
      </c>
      <c r="BE404">
        <v>0</v>
      </c>
      <c r="BF404">
        <v>0</v>
      </c>
      <c r="BG404">
        <v>0</v>
      </c>
      <c r="BH404">
        <v>8625</v>
      </c>
      <c r="BI404">
        <v>1</v>
      </c>
      <c r="BJ404">
        <v>1</v>
      </c>
      <c r="BK404">
        <v>1</v>
      </c>
      <c r="BL404">
        <v>0</v>
      </c>
      <c r="BO404">
        <v>0</v>
      </c>
      <c r="BP404">
        <v>0</v>
      </c>
      <c r="BW404" t="str">
        <f>"13:53:51.023"</f>
        <v>13:53:51.023</v>
      </c>
      <c r="CJ404">
        <v>0</v>
      </c>
      <c r="CK404">
        <v>2</v>
      </c>
      <c r="CL404">
        <v>0</v>
      </c>
      <c r="CM404">
        <v>2</v>
      </c>
      <c r="CN404">
        <v>0</v>
      </c>
      <c r="CO404">
        <v>7</v>
      </c>
      <c r="CP404" t="s">
        <v>119</v>
      </c>
      <c r="CQ404">
        <v>197</v>
      </c>
      <c r="CR404">
        <v>2</v>
      </c>
      <c r="CW404">
        <v>2268580</v>
      </c>
      <c r="CY404">
        <v>1</v>
      </c>
      <c r="CZ404">
        <v>0</v>
      </c>
      <c r="DA404">
        <v>1</v>
      </c>
      <c r="DB404">
        <v>0</v>
      </c>
      <c r="DC404">
        <v>0</v>
      </c>
      <c r="DD404">
        <v>0</v>
      </c>
      <c r="DE404">
        <v>0</v>
      </c>
      <c r="DF404">
        <v>0</v>
      </c>
      <c r="DG404">
        <v>0</v>
      </c>
      <c r="DH404">
        <v>0</v>
      </c>
      <c r="DI404">
        <v>0</v>
      </c>
    </row>
    <row r="405" spans="1:113" x14ac:dyDescent="0.3">
      <c r="A405" t="str">
        <f>"09/28/2021 13:53:52.057"</f>
        <v>09/28/2021 13:53:52.057</v>
      </c>
      <c r="C405" t="str">
        <f t="shared" si="20"/>
        <v>FFDFD3C0</v>
      </c>
      <c r="D405" t="s">
        <v>120</v>
      </c>
      <c r="E405">
        <v>12</v>
      </c>
      <c r="F405">
        <v>1012</v>
      </c>
      <c r="G405" t="s">
        <v>114</v>
      </c>
      <c r="J405" t="s">
        <v>121</v>
      </c>
      <c r="K405">
        <v>0</v>
      </c>
      <c r="L405">
        <v>3</v>
      </c>
      <c r="M405">
        <v>0</v>
      </c>
      <c r="N405">
        <v>2</v>
      </c>
      <c r="O405">
        <v>1</v>
      </c>
      <c r="P405">
        <v>0</v>
      </c>
      <c r="Q405">
        <v>0</v>
      </c>
      <c r="S405" t="str">
        <f>"13:53:51.852"</f>
        <v>13:53:51.852</v>
      </c>
      <c r="T405" t="str">
        <f>"13:53:51.452"</f>
        <v>13:53:51.452</v>
      </c>
      <c r="U405" t="str">
        <f t="shared" si="22"/>
        <v>A92BC1</v>
      </c>
      <c r="V405">
        <v>0</v>
      </c>
      <c r="W405">
        <v>0</v>
      </c>
      <c r="X405">
        <v>2</v>
      </c>
      <c r="Z405">
        <v>0</v>
      </c>
      <c r="AA405">
        <v>9</v>
      </c>
      <c r="AB405">
        <v>3</v>
      </c>
      <c r="AC405">
        <v>0</v>
      </c>
      <c r="AD405">
        <v>10</v>
      </c>
      <c r="AE405">
        <v>0</v>
      </c>
      <c r="AF405">
        <v>3</v>
      </c>
      <c r="AG405">
        <v>2</v>
      </c>
      <c r="AH405">
        <v>0</v>
      </c>
      <c r="AI405" t="s">
        <v>506</v>
      </c>
      <c r="AJ405">
        <v>45.723188</v>
      </c>
      <c r="AK405" t="s">
        <v>507</v>
      </c>
      <c r="AL405">
        <v>-89.391975000000002</v>
      </c>
      <c r="AM405">
        <v>100</v>
      </c>
      <c r="AN405">
        <v>8400</v>
      </c>
      <c r="AO405" t="s">
        <v>118</v>
      </c>
      <c r="AP405">
        <v>131</v>
      </c>
      <c r="AQ405">
        <v>109</v>
      </c>
      <c r="AR405">
        <v>1920</v>
      </c>
      <c r="AZ405">
        <v>1200</v>
      </c>
      <c r="BA405">
        <v>1</v>
      </c>
      <c r="BB405" t="str">
        <f t="shared" si="21"/>
        <v xml:space="preserve">N690LS  </v>
      </c>
      <c r="BC405">
        <v>1</v>
      </c>
      <c r="BE405">
        <v>0</v>
      </c>
      <c r="BF405">
        <v>0</v>
      </c>
      <c r="BG405">
        <v>0</v>
      </c>
      <c r="BH405">
        <v>8675</v>
      </c>
      <c r="BI405">
        <v>1</v>
      </c>
      <c r="BJ405">
        <v>1</v>
      </c>
      <c r="BK405">
        <v>1</v>
      </c>
      <c r="BL405">
        <v>0</v>
      </c>
      <c r="BO405">
        <v>0</v>
      </c>
      <c r="BP405">
        <v>0</v>
      </c>
      <c r="BW405" t="str">
        <f>"13:53:51.856"</f>
        <v>13:53:51.856</v>
      </c>
      <c r="CJ405">
        <v>0</v>
      </c>
      <c r="CK405">
        <v>2</v>
      </c>
      <c r="CL405">
        <v>0</v>
      </c>
      <c r="CM405">
        <v>2</v>
      </c>
      <c r="CN405">
        <v>0</v>
      </c>
      <c r="CO405">
        <v>6</v>
      </c>
      <c r="CP405" t="s">
        <v>119</v>
      </c>
      <c r="CQ405">
        <v>464</v>
      </c>
      <c r="CR405">
        <v>3</v>
      </c>
      <c r="CW405">
        <v>5434145</v>
      </c>
      <c r="CY405">
        <v>1</v>
      </c>
      <c r="CZ405">
        <v>0</v>
      </c>
      <c r="DA405">
        <v>0</v>
      </c>
      <c r="DB405">
        <v>0</v>
      </c>
      <c r="DC405">
        <v>0</v>
      </c>
      <c r="DD405">
        <v>0</v>
      </c>
      <c r="DE405">
        <v>0</v>
      </c>
      <c r="DF405">
        <v>0</v>
      </c>
      <c r="DG405">
        <v>0</v>
      </c>
      <c r="DH405">
        <v>0</v>
      </c>
      <c r="DI405">
        <v>0</v>
      </c>
    </row>
    <row r="406" spans="1:113" x14ac:dyDescent="0.3">
      <c r="A406" t="str">
        <f>"09/28/2021 13:53:52.057"</f>
        <v>09/28/2021 13:53:52.057</v>
      </c>
      <c r="C406" t="str">
        <f t="shared" si="20"/>
        <v>FFDFD3C0</v>
      </c>
      <c r="D406" t="s">
        <v>113</v>
      </c>
      <c r="E406">
        <v>7</v>
      </c>
      <c r="H406">
        <v>170</v>
      </c>
      <c r="I406" t="s">
        <v>114</v>
      </c>
      <c r="J406" t="s">
        <v>115</v>
      </c>
      <c r="K406">
        <v>0</v>
      </c>
      <c r="L406">
        <v>3</v>
      </c>
      <c r="M406">
        <v>0</v>
      </c>
      <c r="N406">
        <v>2</v>
      </c>
      <c r="O406">
        <v>1</v>
      </c>
      <c r="P406">
        <v>0</v>
      </c>
      <c r="Q406">
        <v>0</v>
      </c>
      <c r="S406" t="str">
        <f>"13:53:51.852"</f>
        <v>13:53:51.852</v>
      </c>
      <c r="T406" t="str">
        <f>"13:53:51.452"</f>
        <v>13:53:51.452</v>
      </c>
      <c r="U406" t="str">
        <f t="shared" si="22"/>
        <v>A92BC1</v>
      </c>
      <c r="V406">
        <v>0</v>
      </c>
      <c r="W406">
        <v>0</v>
      </c>
      <c r="X406">
        <v>2</v>
      </c>
      <c r="Z406">
        <v>0</v>
      </c>
      <c r="AA406">
        <v>9</v>
      </c>
      <c r="AB406">
        <v>3</v>
      </c>
      <c r="AC406">
        <v>0</v>
      </c>
      <c r="AD406">
        <v>10</v>
      </c>
      <c r="AE406">
        <v>0</v>
      </c>
      <c r="AF406">
        <v>3</v>
      </c>
      <c r="AG406">
        <v>2</v>
      </c>
      <c r="AH406">
        <v>0</v>
      </c>
      <c r="AI406" t="s">
        <v>506</v>
      </c>
      <c r="AJ406">
        <v>45.723188</v>
      </c>
      <c r="AK406" t="s">
        <v>507</v>
      </c>
      <c r="AL406">
        <v>-89.391975000000002</v>
      </c>
      <c r="AM406">
        <v>100</v>
      </c>
      <c r="AN406">
        <v>8400</v>
      </c>
      <c r="AO406" t="s">
        <v>118</v>
      </c>
      <c r="AP406">
        <v>131</v>
      </c>
      <c r="AQ406">
        <v>109</v>
      </c>
      <c r="AR406">
        <v>1920</v>
      </c>
      <c r="AZ406">
        <v>1200</v>
      </c>
      <c r="BA406">
        <v>1</v>
      </c>
      <c r="BB406" t="str">
        <f t="shared" si="21"/>
        <v xml:space="preserve">N690LS  </v>
      </c>
      <c r="BC406">
        <v>1</v>
      </c>
      <c r="BE406">
        <v>0</v>
      </c>
      <c r="BF406">
        <v>0</v>
      </c>
      <c r="BG406">
        <v>0</v>
      </c>
      <c r="BH406">
        <v>8675</v>
      </c>
      <c r="BI406">
        <v>1</v>
      </c>
      <c r="BJ406">
        <v>1</v>
      </c>
      <c r="BK406">
        <v>1</v>
      </c>
      <c r="BL406">
        <v>0</v>
      </c>
      <c r="BO406">
        <v>0</v>
      </c>
      <c r="BP406">
        <v>0</v>
      </c>
      <c r="BW406" t="str">
        <f>"13:53:51.856"</f>
        <v>13:53:51.856</v>
      </c>
      <c r="CJ406">
        <v>0</v>
      </c>
      <c r="CK406">
        <v>2</v>
      </c>
      <c r="CL406">
        <v>0</v>
      </c>
      <c r="CM406">
        <v>2</v>
      </c>
      <c r="CN406">
        <v>0</v>
      </c>
      <c r="CO406">
        <v>6</v>
      </c>
      <c r="CP406" t="s">
        <v>119</v>
      </c>
      <c r="CQ406">
        <v>209</v>
      </c>
      <c r="CR406">
        <v>3</v>
      </c>
      <c r="CW406">
        <v>7174305</v>
      </c>
      <c r="CY406">
        <v>1</v>
      </c>
      <c r="CZ406">
        <v>0</v>
      </c>
      <c r="DA406">
        <v>1</v>
      </c>
      <c r="DB406">
        <v>0</v>
      </c>
      <c r="DC406">
        <v>0</v>
      </c>
      <c r="DD406">
        <v>0</v>
      </c>
      <c r="DE406">
        <v>0</v>
      </c>
      <c r="DF406">
        <v>0</v>
      </c>
      <c r="DG406">
        <v>0</v>
      </c>
      <c r="DH406">
        <v>0</v>
      </c>
      <c r="DI406">
        <v>0</v>
      </c>
    </row>
    <row r="407" spans="1:113" x14ac:dyDescent="0.3">
      <c r="A407" t="str">
        <f>"09/28/2021 13:53:53.182"</f>
        <v>09/28/2021 13:53:53.182</v>
      </c>
      <c r="C407" t="str">
        <f t="shared" si="20"/>
        <v>FFDFD3C0</v>
      </c>
      <c r="D407" t="s">
        <v>113</v>
      </c>
      <c r="E407">
        <v>7</v>
      </c>
      <c r="H407">
        <v>170</v>
      </c>
      <c r="I407" t="s">
        <v>114</v>
      </c>
      <c r="J407" t="s">
        <v>115</v>
      </c>
      <c r="K407">
        <v>0</v>
      </c>
      <c r="L407">
        <v>3</v>
      </c>
      <c r="M407">
        <v>0</v>
      </c>
      <c r="N407">
        <v>2</v>
      </c>
      <c r="O407">
        <v>1</v>
      </c>
      <c r="P407">
        <v>0</v>
      </c>
      <c r="Q407">
        <v>0</v>
      </c>
      <c r="S407" t="str">
        <f>"13:53:52.930"</f>
        <v>13:53:52.930</v>
      </c>
      <c r="T407" t="str">
        <f>"13:53:52.430"</f>
        <v>13:53:52.430</v>
      </c>
      <c r="U407" t="str">
        <f t="shared" si="22"/>
        <v>A92BC1</v>
      </c>
      <c r="V407">
        <v>0</v>
      </c>
      <c r="W407">
        <v>0</v>
      </c>
      <c r="X407">
        <v>2</v>
      </c>
      <c r="Z407">
        <v>0</v>
      </c>
      <c r="AA407">
        <v>9</v>
      </c>
      <c r="AB407">
        <v>3</v>
      </c>
      <c r="AC407">
        <v>0</v>
      </c>
      <c r="AD407">
        <v>10</v>
      </c>
      <c r="AE407">
        <v>0</v>
      </c>
      <c r="AF407">
        <v>3</v>
      </c>
      <c r="AG407">
        <v>2</v>
      </c>
      <c r="AH407">
        <v>0</v>
      </c>
      <c r="AI407" t="s">
        <v>508</v>
      </c>
      <c r="AJ407">
        <v>45.723767000000002</v>
      </c>
      <c r="AK407" t="s">
        <v>509</v>
      </c>
      <c r="AL407">
        <v>-89.390987999999993</v>
      </c>
      <c r="AM407">
        <v>100</v>
      </c>
      <c r="AN407">
        <v>8500</v>
      </c>
      <c r="AO407" t="s">
        <v>118</v>
      </c>
      <c r="AP407">
        <v>131</v>
      </c>
      <c r="AQ407">
        <v>109</v>
      </c>
      <c r="AR407">
        <v>1920</v>
      </c>
      <c r="AZ407">
        <v>1200</v>
      </c>
      <c r="BA407">
        <v>1</v>
      </c>
      <c r="BB407" t="str">
        <f t="shared" si="21"/>
        <v xml:space="preserve">N690LS  </v>
      </c>
      <c r="BC407">
        <v>1</v>
      </c>
      <c r="BE407">
        <v>0</v>
      </c>
      <c r="BF407">
        <v>0</v>
      </c>
      <c r="BG407">
        <v>0</v>
      </c>
      <c r="BH407">
        <v>8700</v>
      </c>
      <c r="BI407">
        <v>1</v>
      </c>
      <c r="BJ407">
        <v>1</v>
      </c>
      <c r="BK407">
        <v>1</v>
      </c>
      <c r="BL407">
        <v>0</v>
      </c>
      <c r="BO407">
        <v>0</v>
      </c>
      <c r="BP407">
        <v>0</v>
      </c>
      <c r="BW407" t="str">
        <f>"13:53:52.937"</f>
        <v>13:53:52.937</v>
      </c>
      <c r="CJ407">
        <v>0</v>
      </c>
      <c r="CK407">
        <v>2</v>
      </c>
      <c r="CL407">
        <v>0</v>
      </c>
      <c r="CM407">
        <v>2</v>
      </c>
      <c r="CN407">
        <v>0</v>
      </c>
      <c r="CO407">
        <v>6</v>
      </c>
      <c r="CP407" t="s">
        <v>119</v>
      </c>
      <c r="CQ407">
        <v>209</v>
      </c>
      <c r="CR407">
        <v>3</v>
      </c>
      <c r="CW407">
        <v>7174587</v>
      </c>
      <c r="CY407">
        <v>1</v>
      </c>
      <c r="CZ407">
        <v>0</v>
      </c>
      <c r="DA407">
        <v>0</v>
      </c>
      <c r="DB407">
        <v>0</v>
      </c>
      <c r="DC407">
        <v>0</v>
      </c>
      <c r="DD407">
        <v>0</v>
      </c>
      <c r="DE407">
        <v>0</v>
      </c>
      <c r="DF407">
        <v>0</v>
      </c>
      <c r="DG407">
        <v>0</v>
      </c>
      <c r="DH407">
        <v>0</v>
      </c>
      <c r="DI407">
        <v>0</v>
      </c>
    </row>
    <row r="408" spans="1:113" x14ac:dyDescent="0.3">
      <c r="A408" t="str">
        <f>"09/28/2021 13:53:53.182"</f>
        <v>09/28/2021 13:53:53.182</v>
      </c>
      <c r="C408" t="str">
        <f t="shared" si="20"/>
        <v>FFDFD3C0</v>
      </c>
      <c r="D408" t="s">
        <v>120</v>
      </c>
      <c r="E408">
        <v>12</v>
      </c>
      <c r="F408">
        <v>1012</v>
      </c>
      <c r="G408" t="s">
        <v>114</v>
      </c>
      <c r="J408" t="s">
        <v>121</v>
      </c>
      <c r="K408">
        <v>0</v>
      </c>
      <c r="L408">
        <v>3</v>
      </c>
      <c r="M408">
        <v>0</v>
      </c>
      <c r="N408">
        <v>2</v>
      </c>
      <c r="O408">
        <v>1</v>
      </c>
      <c r="P408">
        <v>0</v>
      </c>
      <c r="Q408">
        <v>0</v>
      </c>
      <c r="S408" t="str">
        <f>"13:53:52.938"</f>
        <v>13:53:52.938</v>
      </c>
      <c r="T408" t="str">
        <f>"13:53:52.438"</f>
        <v>13:53:52.438</v>
      </c>
      <c r="U408" t="str">
        <f t="shared" si="22"/>
        <v>A92BC1</v>
      </c>
      <c r="V408">
        <v>0</v>
      </c>
      <c r="W408">
        <v>0</v>
      </c>
      <c r="X408">
        <v>2</v>
      </c>
      <c r="Z408">
        <v>0</v>
      </c>
      <c r="AA408">
        <v>9</v>
      </c>
      <c r="AB408">
        <v>3</v>
      </c>
      <c r="AC408">
        <v>0</v>
      </c>
      <c r="AD408">
        <v>10</v>
      </c>
      <c r="AE408">
        <v>0</v>
      </c>
      <c r="AF408">
        <v>3</v>
      </c>
      <c r="AG408">
        <v>2</v>
      </c>
      <c r="AH408">
        <v>0</v>
      </c>
      <c r="AI408" t="s">
        <v>508</v>
      </c>
      <c r="AJ408">
        <v>45.723767000000002</v>
      </c>
      <c r="AK408" t="s">
        <v>509</v>
      </c>
      <c r="AL408">
        <v>-89.390987999999993</v>
      </c>
      <c r="AM408">
        <v>100</v>
      </c>
      <c r="AN408">
        <v>8500</v>
      </c>
      <c r="AO408" t="s">
        <v>118</v>
      </c>
      <c r="AP408">
        <v>131</v>
      </c>
      <c r="AQ408">
        <v>109</v>
      </c>
      <c r="AR408">
        <v>1920</v>
      </c>
      <c r="AZ408">
        <v>1200</v>
      </c>
      <c r="BA408">
        <v>1</v>
      </c>
      <c r="BB408" t="str">
        <f t="shared" si="21"/>
        <v xml:space="preserve">N690LS  </v>
      </c>
      <c r="BC408">
        <v>1</v>
      </c>
      <c r="BE408">
        <v>0</v>
      </c>
      <c r="BF408">
        <v>0</v>
      </c>
      <c r="BG408">
        <v>0</v>
      </c>
      <c r="BH408">
        <v>8700</v>
      </c>
      <c r="BI408">
        <v>1</v>
      </c>
      <c r="BJ408">
        <v>1</v>
      </c>
      <c r="BK408">
        <v>1</v>
      </c>
      <c r="BL408">
        <v>0</v>
      </c>
      <c r="BO408">
        <v>0</v>
      </c>
      <c r="BP408">
        <v>0</v>
      </c>
      <c r="BW408" t="str">
        <f>"13:53:52.938"</f>
        <v>13:53:52.938</v>
      </c>
      <c r="CJ408">
        <v>0</v>
      </c>
      <c r="CK408">
        <v>2</v>
      </c>
      <c r="CL408">
        <v>0</v>
      </c>
      <c r="CM408">
        <v>2</v>
      </c>
      <c r="CN408">
        <v>0</v>
      </c>
      <c r="CO408">
        <v>6</v>
      </c>
      <c r="CP408" t="s">
        <v>119</v>
      </c>
      <c r="CQ408">
        <v>464</v>
      </c>
      <c r="CR408">
        <v>3</v>
      </c>
      <c r="CW408">
        <v>5435058</v>
      </c>
      <c r="CY408">
        <v>1</v>
      </c>
      <c r="CZ408">
        <v>0</v>
      </c>
      <c r="DA408">
        <v>1</v>
      </c>
      <c r="DB408">
        <v>0</v>
      </c>
      <c r="DC408">
        <v>0</v>
      </c>
      <c r="DD408">
        <v>0</v>
      </c>
      <c r="DE408">
        <v>0</v>
      </c>
      <c r="DF408">
        <v>0</v>
      </c>
      <c r="DG408">
        <v>0</v>
      </c>
      <c r="DH408">
        <v>0</v>
      </c>
      <c r="DI408">
        <v>0</v>
      </c>
    </row>
    <row r="409" spans="1:113" x14ac:dyDescent="0.3">
      <c r="A409" t="str">
        <f>"09/28/2021 13:53:54.199"</f>
        <v>09/28/2021 13:53:54.199</v>
      </c>
      <c r="C409" t="str">
        <f t="shared" si="20"/>
        <v>FFDFD3C0</v>
      </c>
      <c r="D409" t="s">
        <v>120</v>
      </c>
      <c r="E409">
        <v>12</v>
      </c>
      <c r="F409">
        <v>1012</v>
      </c>
      <c r="G409" t="s">
        <v>114</v>
      </c>
      <c r="J409" t="s">
        <v>121</v>
      </c>
      <c r="K409">
        <v>0</v>
      </c>
      <c r="L409">
        <v>3</v>
      </c>
      <c r="M409">
        <v>0</v>
      </c>
      <c r="N409">
        <v>2</v>
      </c>
      <c r="O409">
        <v>1</v>
      </c>
      <c r="P409">
        <v>0</v>
      </c>
      <c r="Q409">
        <v>0</v>
      </c>
      <c r="S409" t="str">
        <f>"13:53:53.828"</f>
        <v>13:53:53.828</v>
      </c>
      <c r="T409" t="str">
        <f>"13:53:53.428"</f>
        <v>13:53:53.428</v>
      </c>
      <c r="U409" t="str">
        <f t="shared" si="22"/>
        <v>A92BC1</v>
      </c>
      <c r="V409">
        <v>0</v>
      </c>
      <c r="W409">
        <v>0</v>
      </c>
      <c r="X409">
        <v>2</v>
      </c>
      <c r="Z409">
        <v>0</v>
      </c>
      <c r="AA409">
        <v>9</v>
      </c>
      <c r="AB409">
        <v>3</v>
      </c>
      <c r="AC409">
        <v>0</v>
      </c>
      <c r="AD409">
        <v>10</v>
      </c>
      <c r="AE409">
        <v>0</v>
      </c>
      <c r="AF409">
        <v>3</v>
      </c>
      <c r="AG409">
        <v>2</v>
      </c>
      <c r="AH409">
        <v>0</v>
      </c>
      <c r="AI409" t="s">
        <v>510</v>
      </c>
      <c r="AJ409">
        <v>45.724218</v>
      </c>
      <c r="AK409" t="s">
        <v>511</v>
      </c>
      <c r="AL409">
        <v>-89.390193999999994</v>
      </c>
      <c r="AM409">
        <v>100</v>
      </c>
      <c r="AN409">
        <v>8500</v>
      </c>
      <c r="AO409" t="s">
        <v>118</v>
      </c>
      <c r="AP409">
        <v>131</v>
      </c>
      <c r="AQ409">
        <v>109</v>
      </c>
      <c r="AR409">
        <v>1920</v>
      </c>
      <c r="AZ409">
        <v>1200</v>
      </c>
      <c r="BA409">
        <v>1</v>
      </c>
      <c r="BB409" t="str">
        <f t="shared" si="21"/>
        <v xml:space="preserve">N690LS  </v>
      </c>
      <c r="BC409">
        <v>1</v>
      </c>
      <c r="BE409">
        <v>0</v>
      </c>
      <c r="BF409">
        <v>0</v>
      </c>
      <c r="BG409">
        <v>0</v>
      </c>
      <c r="BH409">
        <v>8725</v>
      </c>
      <c r="BI409">
        <v>1</v>
      </c>
      <c r="BJ409">
        <v>1</v>
      </c>
      <c r="BK409">
        <v>1</v>
      </c>
      <c r="BL409">
        <v>0</v>
      </c>
      <c r="BO409">
        <v>0</v>
      </c>
      <c r="BP409">
        <v>0</v>
      </c>
      <c r="BW409" t="str">
        <f>"13:53:53.830"</f>
        <v>13:53:53.830</v>
      </c>
      <c r="CJ409">
        <v>0</v>
      </c>
      <c r="CK409">
        <v>2</v>
      </c>
      <c r="CL409">
        <v>0</v>
      </c>
      <c r="CM409">
        <v>2</v>
      </c>
      <c r="CN409">
        <v>0</v>
      </c>
      <c r="CO409">
        <v>5</v>
      </c>
      <c r="CP409" t="s">
        <v>119</v>
      </c>
      <c r="CQ409">
        <v>464</v>
      </c>
      <c r="CR409">
        <v>3</v>
      </c>
      <c r="CW409">
        <v>5435781</v>
      </c>
      <c r="CY409">
        <v>1</v>
      </c>
      <c r="CZ409">
        <v>0</v>
      </c>
      <c r="DA409">
        <v>0</v>
      </c>
      <c r="DB409">
        <v>0</v>
      </c>
      <c r="DC409">
        <v>0</v>
      </c>
      <c r="DD409">
        <v>0</v>
      </c>
      <c r="DE409">
        <v>0</v>
      </c>
      <c r="DF409">
        <v>0</v>
      </c>
      <c r="DG409">
        <v>0</v>
      </c>
      <c r="DH409">
        <v>0</v>
      </c>
      <c r="DI409">
        <v>0</v>
      </c>
    </row>
    <row r="410" spans="1:113" x14ac:dyDescent="0.3">
      <c r="A410" t="str">
        <f>"09/28/2021 13:53:54.199"</f>
        <v>09/28/2021 13:53:54.199</v>
      </c>
      <c r="C410" t="str">
        <f t="shared" si="20"/>
        <v>FFDFD3C0</v>
      </c>
      <c r="D410" t="s">
        <v>113</v>
      </c>
      <c r="E410">
        <v>7</v>
      </c>
      <c r="H410">
        <v>170</v>
      </c>
      <c r="I410" t="s">
        <v>114</v>
      </c>
      <c r="J410" t="s">
        <v>115</v>
      </c>
      <c r="K410">
        <v>0</v>
      </c>
      <c r="L410">
        <v>3</v>
      </c>
      <c r="M410">
        <v>0</v>
      </c>
      <c r="N410">
        <v>2</v>
      </c>
      <c r="O410">
        <v>1</v>
      </c>
      <c r="P410">
        <v>0</v>
      </c>
      <c r="Q410">
        <v>0</v>
      </c>
      <c r="S410" t="str">
        <f>"13:53:53.828"</f>
        <v>13:53:53.828</v>
      </c>
      <c r="T410" t="str">
        <f>"13:53:53.428"</f>
        <v>13:53:53.428</v>
      </c>
      <c r="U410" t="str">
        <f t="shared" si="22"/>
        <v>A92BC1</v>
      </c>
      <c r="V410">
        <v>0</v>
      </c>
      <c r="W410">
        <v>0</v>
      </c>
      <c r="X410">
        <v>2</v>
      </c>
      <c r="Z410">
        <v>0</v>
      </c>
      <c r="AA410">
        <v>9</v>
      </c>
      <c r="AB410">
        <v>3</v>
      </c>
      <c r="AC410">
        <v>0</v>
      </c>
      <c r="AD410">
        <v>10</v>
      </c>
      <c r="AE410">
        <v>0</v>
      </c>
      <c r="AF410">
        <v>3</v>
      </c>
      <c r="AG410">
        <v>2</v>
      </c>
      <c r="AH410">
        <v>0</v>
      </c>
      <c r="AI410" t="s">
        <v>510</v>
      </c>
      <c r="AJ410">
        <v>45.724218</v>
      </c>
      <c r="AK410" t="s">
        <v>511</v>
      </c>
      <c r="AL410">
        <v>-89.390193999999994</v>
      </c>
      <c r="AM410">
        <v>100</v>
      </c>
      <c r="AN410">
        <v>8500</v>
      </c>
      <c r="AO410" t="s">
        <v>118</v>
      </c>
      <c r="AP410">
        <v>131</v>
      </c>
      <c r="AQ410">
        <v>109</v>
      </c>
      <c r="AR410">
        <v>1920</v>
      </c>
      <c r="AZ410">
        <v>1200</v>
      </c>
      <c r="BA410">
        <v>1</v>
      </c>
      <c r="BB410" t="str">
        <f t="shared" si="21"/>
        <v xml:space="preserve">N690LS  </v>
      </c>
      <c r="BC410">
        <v>1</v>
      </c>
      <c r="BE410">
        <v>0</v>
      </c>
      <c r="BF410">
        <v>0</v>
      </c>
      <c r="BG410">
        <v>0</v>
      </c>
      <c r="BH410">
        <v>8725</v>
      </c>
      <c r="BI410">
        <v>1</v>
      </c>
      <c r="BJ410">
        <v>1</v>
      </c>
      <c r="BK410">
        <v>1</v>
      </c>
      <c r="BL410">
        <v>0</v>
      </c>
      <c r="BO410">
        <v>0</v>
      </c>
      <c r="BP410">
        <v>0</v>
      </c>
      <c r="BW410" t="str">
        <f>"13:53:53.830"</f>
        <v>13:53:53.830</v>
      </c>
      <c r="CJ410">
        <v>0</v>
      </c>
      <c r="CK410">
        <v>2</v>
      </c>
      <c r="CL410">
        <v>0</v>
      </c>
      <c r="CM410">
        <v>2</v>
      </c>
      <c r="CN410">
        <v>0</v>
      </c>
      <c r="CO410">
        <v>5</v>
      </c>
      <c r="CP410" t="s">
        <v>119</v>
      </c>
      <c r="CQ410">
        <v>210</v>
      </c>
      <c r="CR410">
        <v>2</v>
      </c>
      <c r="CW410">
        <v>2205573</v>
      </c>
      <c r="CY410">
        <v>1</v>
      </c>
      <c r="CZ410">
        <v>0</v>
      </c>
      <c r="DA410">
        <v>1</v>
      </c>
      <c r="DB410">
        <v>0</v>
      </c>
      <c r="DC410">
        <v>0</v>
      </c>
      <c r="DD410">
        <v>0</v>
      </c>
      <c r="DE410">
        <v>0</v>
      </c>
      <c r="DF410">
        <v>0</v>
      </c>
      <c r="DG410">
        <v>0</v>
      </c>
      <c r="DH410">
        <v>0</v>
      </c>
      <c r="DI410">
        <v>0</v>
      </c>
    </row>
    <row r="411" spans="1:113" x14ac:dyDescent="0.3">
      <c r="A411" t="str">
        <f>"09/28/2021 13:53:55.028"</f>
        <v>09/28/2021 13:53:55.028</v>
      </c>
      <c r="C411" t="str">
        <f t="shared" si="20"/>
        <v>FFDFD3C0</v>
      </c>
      <c r="D411" t="s">
        <v>120</v>
      </c>
      <c r="E411">
        <v>12</v>
      </c>
      <c r="F411">
        <v>1012</v>
      </c>
      <c r="G411" t="s">
        <v>114</v>
      </c>
      <c r="J411" t="s">
        <v>121</v>
      </c>
      <c r="K411">
        <v>0</v>
      </c>
      <c r="L411">
        <v>3</v>
      </c>
      <c r="M411">
        <v>0</v>
      </c>
      <c r="N411">
        <v>2</v>
      </c>
      <c r="O411">
        <v>1</v>
      </c>
      <c r="P411">
        <v>0</v>
      </c>
      <c r="Q411">
        <v>0</v>
      </c>
      <c r="S411" t="str">
        <f>"13:53:54.852"</f>
        <v>13:53:54.852</v>
      </c>
      <c r="T411" t="str">
        <f>"13:53:54.352"</f>
        <v>13:53:54.352</v>
      </c>
      <c r="U411" t="str">
        <f t="shared" si="22"/>
        <v>A92BC1</v>
      </c>
      <c r="V411">
        <v>0</v>
      </c>
      <c r="W411">
        <v>0</v>
      </c>
      <c r="X411">
        <v>2</v>
      </c>
      <c r="Z411">
        <v>0</v>
      </c>
      <c r="AA411">
        <v>9</v>
      </c>
      <c r="AB411">
        <v>3</v>
      </c>
      <c r="AC411">
        <v>0</v>
      </c>
      <c r="AD411">
        <v>10</v>
      </c>
      <c r="AE411">
        <v>0</v>
      </c>
      <c r="AF411">
        <v>3</v>
      </c>
      <c r="AG411">
        <v>2</v>
      </c>
      <c r="AH411">
        <v>0</v>
      </c>
      <c r="AI411" t="s">
        <v>512</v>
      </c>
      <c r="AJ411">
        <v>45.724733000000001</v>
      </c>
      <c r="AK411" t="s">
        <v>513</v>
      </c>
      <c r="AL411">
        <v>-89.389358000000001</v>
      </c>
      <c r="AM411">
        <v>100</v>
      </c>
      <c r="AN411">
        <v>8500</v>
      </c>
      <c r="AO411" t="s">
        <v>118</v>
      </c>
      <c r="AP411">
        <v>131</v>
      </c>
      <c r="AQ411">
        <v>109</v>
      </c>
      <c r="AR411">
        <v>1920</v>
      </c>
      <c r="AZ411">
        <v>1200</v>
      </c>
      <c r="BA411">
        <v>1</v>
      </c>
      <c r="BB411" t="str">
        <f t="shared" si="21"/>
        <v xml:space="preserve">N690LS  </v>
      </c>
      <c r="BC411">
        <v>1</v>
      </c>
      <c r="BE411">
        <v>0</v>
      </c>
      <c r="BF411">
        <v>0</v>
      </c>
      <c r="BG411">
        <v>0</v>
      </c>
      <c r="BH411">
        <v>8750</v>
      </c>
      <c r="BI411">
        <v>1</v>
      </c>
      <c r="BJ411">
        <v>1</v>
      </c>
      <c r="BK411">
        <v>1</v>
      </c>
      <c r="BL411">
        <v>0</v>
      </c>
      <c r="BO411">
        <v>0</v>
      </c>
      <c r="BP411">
        <v>0</v>
      </c>
      <c r="BW411" t="str">
        <f>"13:53:54.857"</f>
        <v>13:53:54.857</v>
      </c>
      <c r="CJ411">
        <v>0</v>
      </c>
      <c r="CK411">
        <v>2</v>
      </c>
      <c r="CL411">
        <v>0</v>
      </c>
      <c r="CM411">
        <v>2</v>
      </c>
      <c r="CN411">
        <v>0</v>
      </c>
      <c r="CO411">
        <v>5</v>
      </c>
      <c r="CP411" t="s">
        <v>119</v>
      </c>
      <c r="CQ411">
        <v>209</v>
      </c>
      <c r="CR411">
        <v>2</v>
      </c>
      <c r="CW411">
        <v>11665378</v>
      </c>
      <c r="CY411">
        <v>1</v>
      </c>
      <c r="CZ411">
        <v>0</v>
      </c>
      <c r="DA411">
        <v>0</v>
      </c>
      <c r="DB411">
        <v>0</v>
      </c>
      <c r="DC411">
        <v>0</v>
      </c>
      <c r="DD411">
        <v>0</v>
      </c>
      <c r="DE411">
        <v>0</v>
      </c>
      <c r="DF411">
        <v>0</v>
      </c>
      <c r="DG411">
        <v>0</v>
      </c>
      <c r="DH411">
        <v>0</v>
      </c>
      <c r="DI411">
        <v>0</v>
      </c>
    </row>
    <row r="412" spans="1:113" x14ac:dyDescent="0.3">
      <c r="A412" t="str">
        <f>"09/28/2021 13:53:55.090"</f>
        <v>09/28/2021 13:53:55.090</v>
      </c>
      <c r="C412" t="str">
        <f t="shared" si="20"/>
        <v>FFDFD3C0</v>
      </c>
      <c r="D412" t="s">
        <v>113</v>
      </c>
      <c r="E412">
        <v>7</v>
      </c>
      <c r="H412">
        <v>170</v>
      </c>
      <c r="I412" t="s">
        <v>114</v>
      </c>
      <c r="J412" t="s">
        <v>115</v>
      </c>
      <c r="K412">
        <v>0</v>
      </c>
      <c r="L412">
        <v>3</v>
      </c>
      <c r="M412">
        <v>0</v>
      </c>
      <c r="N412">
        <v>2</v>
      </c>
      <c r="O412">
        <v>1</v>
      </c>
      <c r="P412">
        <v>0</v>
      </c>
      <c r="Q412">
        <v>0</v>
      </c>
      <c r="S412" t="str">
        <f>"13:53:54.852"</f>
        <v>13:53:54.852</v>
      </c>
      <c r="T412" t="str">
        <f>"13:53:54.352"</f>
        <v>13:53:54.352</v>
      </c>
      <c r="U412" t="str">
        <f t="shared" si="22"/>
        <v>A92BC1</v>
      </c>
      <c r="V412">
        <v>0</v>
      </c>
      <c r="W412">
        <v>0</v>
      </c>
      <c r="X412">
        <v>2</v>
      </c>
      <c r="Z412">
        <v>0</v>
      </c>
      <c r="AA412">
        <v>9</v>
      </c>
      <c r="AB412">
        <v>3</v>
      </c>
      <c r="AC412">
        <v>0</v>
      </c>
      <c r="AD412">
        <v>10</v>
      </c>
      <c r="AE412">
        <v>0</v>
      </c>
      <c r="AF412">
        <v>3</v>
      </c>
      <c r="AG412">
        <v>2</v>
      </c>
      <c r="AH412">
        <v>0</v>
      </c>
      <c r="AI412" t="s">
        <v>512</v>
      </c>
      <c r="AJ412">
        <v>45.724733000000001</v>
      </c>
      <c r="AK412" t="s">
        <v>513</v>
      </c>
      <c r="AL412">
        <v>-89.389358000000001</v>
      </c>
      <c r="AM412">
        <v>100</v>
      </c>
      <c r="AN412">
        <v>8500</v>
      </c>
      <c r="AO412" t="s">
        <v>118</v>
      </c>
      <c r="AP412">
        <v>131</v>
      </c>
      <c r="AQ412">
        <v>109</v>
      </c>
      <c r="AR412">
        <v>1920</v>
      </c>
      <c r="AZ412">
        <v>1200</v>
      </c>
      <c r="BA412">
        <v>1</v>
      </c>
      <c r="BB412" t="str">
        <f t="shared" si="21"/>
        <v xml:space="preserve">N690LS  </v>
      </c>
      <c r="BC412">
        <v>1</v>
      </c>
      <c r="BE412">
        <v>0</v>
      </c>
      <c r="BF412">
        <v>0</v>
      </c>
      <c r="BG412">
        <v>0</v>
      </c>
      <c r="BH412">
        <v>8750</v>
      </c>
      <c r="BI412">
        <v>1</v>
      </c>
      <c r="BJ412">
        <v>1</v>
      </c>
      <c r="BK412">
        <v>1</v>
      </c>
      <c r="BL412">
        <v>0</v>
      </c>
      <c r="BO412">
        <v>0</v>
      </c>
      <c r="BP412">
        <v>0</v>
      </c>
      <c r="BW412" t="str">
        <f>"13:53:54.857"</f>
        <v>13:53:54.857</v>
      </c>
      <c r="CJ412">
        <v>0</v>
      </c>
      <c r="CK412">
        <v>2</v>
      </c>
      <c r="CL412">
        <v>0</v>
      </c>
      <c r="CM412">
        <v>2</v>
      </c>
      <c r="CN412">
        <v>0</v>
      </c>
      <c r="CO412">
        <v>5</v>
      </c>
      <c r="CP412" t="s">
        <v>119</v>
      </c>
      <c r="CQ412">
        <v>209</v>
      </c>
      <c r="CR412">
        <v>2</v>
      </c>
      <c r="CW412">
        <v>11665378</v>
      </c>
      <c r="CY412">
        <v>1</v>
      </c>
      <c r="CZ412">
        <v>0</v>
      </c>
      <c r="DA412">
        <v>1</v>
      </c>
      <c r="DB412">
        <v>0</v>
      </c>
      <c r="DC412">
        <v>0</v>
      </c>
      <c r="DD412">
        <v>0</v>
      </c>
      <c r="DE412">
        <v>0</v>
      </c>
      <c r="DF412">
        <v>0</v>
      </c>
      <c r="DG412">
        <v>0</v>
      </c>
      <c r="DH412">
        <v>0</v>
      </c>
      <c r="DI412">
        <v>0</v>
      </c>
    </row>
    <row r="413" spans="1:113" x14ac:dyDescent="0.3">
      <c r="A413" t="str">
        <f>"09/28/2021 13:53:56.075"</f>
        <v>09/28/2021 13:53:56.075</v>
      </c>
      <c r="C413" t="str">
        <f t="shared" si="20"/>
        <v>FFDFD3C0</v>
      </c>
      <c r="D413" t="s">
        <v>113</v>
      </c>
      <c r="E413">
        <v>7</v>
      </c>
      <c r="H413">
        <v>170</v>
      </c>
      <c r="I413" t="s">
        <v>114</v>
      </c>
      <c r="J413" t="s">
        <v>115</v>
      </c>
      <c r="K413">
        <v>0</v>
      </c>
      <c r="L413">
        <v>3</v>
      </c>
      <c r="M413">
        <v>0</v>
      </c>
      <c r="N413">
        <v>2</v>
      </c>
      <c r="O413">
        <v>1</v>
      </c>
      <c r="P413">
        <v>0</v>
      </c>
      <c r="Q413">
        <v>0</v>
      </c>
      <c r="S413" t="str">
        <f>"13:53:55.813"</f>
        <v>13:53:55.813</v>
      </c>
      <c r="T413" t="str">
        <f>"13:53:55.313"</f>
        <v>13:53:55.313</v>
      </c>
      <c r="U413" t="str">
        <f t="shared" si="22"/>
        <v>A92BC1</v>
      </c>
      <c r="V413">
        <v>0</v>
      </c>
      <c r="W413">
        <v>0</v>
      </c>
      <c r="X413">
        <v>2</v>
      </c>
      <c r="Z413">
        <v>0</v>
      </c>
      <c r="AA413">
        <v>9</v>
      </c>
      <c r="AB413">
        <v>3</v>
      </c>
      <c r="AC413">
        <v>0</v>
      </c>
      <c r="AD413">
        <v>10</v>
      </c>
      <c r="AE413">
        <v>0</v>
      </c>
      <c r="AF413">
        <v>3</v>
      </c>
      <c r="AG413">
        <v>2</v>
      </c>
      <c r="AH413">
        <v>0</v>
      </c>
      <c r="AI413" t="s">
        <v>514</v>
      </c>
      <c r="AJ413">
        <v>45.725183000000001</v>
      </c>
      <c r="AK413" t="s">
        <v>515</v>
      </c>
      <c r="AL413">
        <v>-89.388585000000006</v>
      </c>
      <c r="AM413">
        <v>100</v>
      </c>
      <c r="AN413">
        <v>8600</v>
      </c>
      <c r="AO413" t="s">
        <v>118</v>
      </c>
      <c r="AP413">
        <v>131</v>
      </c>
      <c r="AQ413">
        <v>109</v>
      </c>
      <c r="AR413">
        <v>1920</v>
      </c>
      <c r="AZ413">
        <v>1200</v>
      </c>
      <c r="BA413">
        <v>1</v>
      </c>
      <c r="BB413" t="str">
        <f t="shared" si="21"/>
        <v xml:space="preserve">N690LS  </v>
      </c>
      <c r="BC413">
        <v>1</v>
      </c>
      <c r="BE413">
        <v>0</v>
      </c>
      <c r="BF413">
        <v>0</v>
      </c>
      <c r="BG413">
        <v>0</v>
      </c>
      <c r="BH413">
        <v>8775</v>
      </c>
      <c r="BI413">
        <v>1</v>
      </c>
      <c r="BJ413">
        <v>1</v>
      </c>
      <c r="BK413">
        <v>1</v>
      </c>
      <c r="BL413">
        <v>0</v>
      </c>
      <c r="BO413">
        <v>0</v>
      </c>
      <c r="BP413">
        <v>0</v>
      </c>
      <c r="BW413" t="str">
        <f>"13:53:55.819"</f>
        <v>13:53:55.819</v>
      </c>
      <c r="CJ413">
        <v>0</v>
      </c>
      <c r="CK413">
        <v>2</v>
      </c>
      <c r="CL413">
        <v>0</v>
      </c>
      <c r="CM413">
        <v>2</v>
      </c>
      <c r="CN413">
        <v>0</v>
      </c>
      <c r="CO413">
        <v>6</v>
      </c>
      <c r="CP413" t="s">
        <v>119</v>
      </c>
      <c r="CQ413">
        <v>209</v>
      </c>
      <c r="CR413">
        <v>3</v>
      </c>
      <c r="CW413">
        <v>7175376</v>
      </c>
      <c r="CY413">
        <v>1</v>
      </c>
      <c r="CZ413">
        <v>0</v>
      </c>
      <c r="DA413">
        <v>0</v>
      </c>
      <c r="DB413">
        <v>0</v>
      </c>
      <c r="DC413">
        <v>0</v>
      </c>
      <c r="DD413">
        <v>0</v>
      </c>
      <c r="DE413">
        <v>0</v>
      </c>
      <c r="DF413">
        <v>0</v>
      </c>
      <c r="DG413">
        <v>0</v>
      </c>
      <c r="DH413">
        <v>0</v>
      </c>
      <c r="DI413">
        <v>0</v>
      </c>
    </row>
    <row r="414" spans="1:113" x14ac:dyDescent="0.3">
      <c r="A414" t="str">
        <f>"09/28/2021 13:53:56.075"</f>
        <v>09/28/2021 13:53:56.075</v>
      </c>
      <c r="C414" t="str">
        <f t="shared" si="20"/>
        <v>FFDFD3C0</v>
      </c>
      <c r="D414" t="s">
        <v>120</v>
      </c>
      <c r="E414">
        <v>12</v>
      </c>
      <c r="F414">
        <v>1012</v>
      </c>
      <c r="G414" t="s">
        <v>114</v>
      </c>
      <c r="J414" t="s">
        <v>121</v>
      </c>
      <c r="K414">
        <v>0</v>
      </c>
      <c r="L414">
        <v>3</v>
      </c>
      <c r="M414">
        <v>0</v>
      </c>
      <c r="N414">
        <v>2</v>
      </c>
      <c r="O414">
        <v>1</v>
      </c>
      <c r="P414">
        <v>0</v>
      </c>
      <c r="Q414">
        <v>0</v>
      </c>
      <c r="S414" t="str">
        <f>"13:53:55.813"</f>
        <v>13:53:55.813</v>
      </c>
      <c r="T414" t="str">
        <f>"13:53:55.313"</f>
        <v>13:53:55.313</v>
      </c>
      <c r="U414" t="str">
        <f t="shared" si="22"/>
        <v>A92BC1</v>
      </c>
      <c r="V414">
        <v>0</v>
      </c>
      <c r="W414">
        <v>0</v>
      </c>
      <c r="X414">
        <v>2</v>
      </c>
      <c r="Z414">
        <v>0</v>
      </c>
      <c r="AA414">
        <v>9</v>
      </c>
      <c r="AB414">
        <v>3</v>
      </c>
      <c r="AC414">
        <v>0</v>
      </c>
      <c r="AD414">
        <v>10</v>
      </c>
      <c r="AE414">
        <v>0</v>
      </c>
      <c r="AF414">
        <v>3</v>
      </c>
      <c r="AG414">
        <v>2</v>
      </c>
      <c r="AH414">
        <v>0</v>
      </c>
      <c r="AI414" t="s">
        <v>514</v>
      </c>
      <c r="AJ414">
        <v>45.725183000000001</v>
      </c>
      <c r="AK414" t="s">
        <v>515</v>
      </c>
      <c r="AL414">
        <v>-89.388585000000006</v>
      </c>
      <c r="AM414">
        <v>100</v>
      </c>
      <c r="AN414">
        <v>8600</v>
      </c>
      <c r="AO414" t="s">
        <v>118</v>
      </c>
      <c r="AP414">
        <v>131</v>
      </c>
      <c r="AQ414">
        <v>109</v>
      </c>
      <c r="AR414">
        <v>1920</v>
      </c>
      <c r="AZ414">
        <v>1200</v>
      </c>
      <c r="BA414">
        <v>1</v>
      </c>
      <c r="BB414" t="str">
        <f t="shared" si="21"/>
        <v xml:space="preserve">N690LS  </v>
      </c>
      <c r="BC414">
        <v>1</v>
      </c>
      <c r="BE414">
        <v>0</v>
      </c>
      <c r="BF414">
        <v>0</v>
      </c>
      <c r="BG414">
        <v>0</v>
      </c>
      <c r="BH414">
        <v>8775</v>
      </c>
      <c r="BI414">
        <v>1</v>
      </c>
      <c r="BJ414">
        <v>1</v>
      </c>
      <c r="BK414">
        <v>1</v>
      </c>
      <c r="BL414">
        <v>0</v>
      </c>
      <c r="BO414">
        <v>0</v>
      </c>
      <c r="BP414">
        <v>0</v>
      </c>
      <c r="BW414" t="str">
        <f>"13:53:55.819"</f>
        <v>13:53:55.819</v>
      </c>
      <c r="CJ414">
        <v>0</v>
      </c>
      <c r="CK414">
        <v>2</v>
      </c>
      <c r="CL414">
        <v>0</v>
      </c>
      <c r="CM414">
        <v>2</v>
      </c>
      <c r="CN414">
        <v>0</v>
      </c>
      <c r="CO414">
        <v>6</v>
      </c>
      <c r="CP414" t="s">
        <v>119</v>
      </c>
      <c r="CQ414">
        <v>209</v>
      </c>
      <c r="CR414">
        <v>3</v>
      </c>
      <c r="CW414">
        <v>7175376</v>
      </c>
      <c r="CY414">
        <v>1</v>
      </c>
      <c r="CZ414">
        <v>0</v>
      </c>
      <c r="DA414">
        <v>1</v>
      </c>
      <c r="DB414">
        <v>0</v>
      </c>
      <c r="DC414">
        <v>0</v>
      </c>
      <c r="DD414">
        <v>0</v>
      </c>
      <c r="DE414">
        <v>0</v>
      </c>
      <c r="DF414">
        <v>0</v>
      </c>
      <c r="DG414">
        <v>0</v>
      </c>
      <c r="DH414">
        <v>0</v>
      </c>
      <c r="DI414">
        <v>0</v>
      </c>
    </row>
    <row r="415" spans="1:113" x14ac:dyDescent="0.3">
      <c r="A415" t="str">
        <f>"09/28/2021 13:53:57.103"</f>
        <v>09/28/2021 13:53:57.103</v>
      </c>
      <c r="C415" t="str">
        <f t="shared" si="20"/>
        <v>FFDFD3C0</v>
      </c>
      <c r="D415" t="s">
        <v>120</v>
      </c>
      <c r="E415">
        <v>12</v>
      </c>
      <c r="F415">
        <v>1012</v>
      </c>
      <c r="G415" t="s">
        <v>114</v>
      </c>
      <c r="J415" t="s">
        <v>121</v>
      </c>
      <c r="K415">
        <v>0</v>
      </c>
      <c r="L415">
        <v>3</v>
      </c>
      <c r="M415">
        <v>0</v>
      </c>
      <c r="N415">
        <v>2</v>
      </c>
      <c r="O415">
        <v>1</v>
      </c>
      <c r="P415">
        <v>0</v>
      </c>
      <c r="Q415">
        <v>0</v>
      </c>
      <c r="S415" t="str">
        <f>"13:53:56.891"</f>
        <v>13:53:56.891</v>
      </c>
      <c r="T415" t="str">
        <f>"13:53:56.391"</f>
        <v>13:53:56.391</v>
      </c>
      <c r="U415" t="str">
        <f t="shared" si="22"/>
        <v>A92BC1</v>
      </c>
      <c r="V415">
        <v>0</v>
      </c>
      <c r="W415">
        <v>0</v>
      </c>
      <c r="X415">
        <v>2</v>
      </c>
      <c r="Z415">
        <v>0</v>
      </c>
      <c r="AA415">
        <v>9</v>
      </c>
      <c r="AB415">
        <v>3</v>
      </c>
      <c r="AC415">
        <v>0</v>
      </c>
      <c r="AD415">
        <v>10</v>
      </c>
      <c r="AE415">
        <v>0</v>
      </c>
      <c r="AF415">
        <v>3</v>
      </c>
      <c r="AG415">
        <v>2</v>
      </c>
      <c r="AH415">
        <v>0</v>
      </c>
      <c r="AI415" t="s">
        <v>516</v>
      </c>
      <c r="AJ415">
        <v>45.725740999999999</v>
      </c>
      <c r="AK415" t="s">
        <v>517</v>
      </c>
      <c r="AL415">
        <v>-89.387576999999993</v>
      </c>
      <c r="AM415">
        <v>100</v>
      </c>
      <c r="AN415">
        <v>8600</v>
      </c>
      <c r="AO415" t="s">
        <v>118</v>
      </c>
      <c r="AP415">
        <v>131</v>
      </c>
      <c r="AQ415">
        <v>109</v>
      </c>
      <c r="AR415">
        <v>1984</v>
      </c>
      <c r="AZ415">
        <v>1200</v>
      </c>
      <c r="BA415">
        <v>1</v>
      </c>
      <c r="BB415" t="str">
        <f t="shared" si="21"/>
        <v xml:space="preserve">N690LS  </v>
      </c>
      <c r="BC415">
        <v>1</v>
      </c>
      <c r="BE415">
        <v>0</v>
      </c>
      <c r="BF415">
        <v>0</v>
      </c>
      <c r="BG415">
        <v>0</v>
      </c>
      <c r="BH415">
        <v>8825</v>
      </c>
      <c r="BI415">
        <v>1</v>
      </c>
      <c r="BJ415">
        <v>1</v>
      </c>
      <c r="BK415">
        <v>1</v>
      </c>
      <c r="BL415">
        <v>0</v>
      </c>
      <c r="BO415">
        <v>0</v>
      </c>
      <c r="BP415">
        <v>0</v>
      </c>
      <c r="BW415" t="str">
        <f>"13:53:56.896"</f>
        <v>13:53:56.896</v>
      </c>
      <c r="CJ415">
        <v>0</v>
      </c>
      <c r="CK415">
        <v>2</v>
      </c>
      <c r="CL415">
        <v>0</v>
      </c>
      <c r="CM415">
        <v>2</v>
      </c>
      <c r="CN415">
        <v>0</v>
      </c>
      <c r="CO415">
        <v>6</v>
      </c>
      <c r="CP415" t="s">
        <v>119</v>
      </c>
      <c r="CQ415">
        <v>209</v>
      </c>
      <c r="CR415">
        <v>3</v>
      </c>
      <c r="CW415">
        <v>7175664</v>
      </c>
      <c r="CY415">
        <v>1</v>
      </c>
      <c r="CZ415">
        <v>0</v>
      </c>
      <c r="DA415">
        <v>0</v>
      </c>
      <c r="DB415">
        <v>0</v>
      </c>
      <c r="DC415">
        <v>0</v>
      </c>
      <c r="DD415">
        <v>0</v>
      </c>
      <c r="DE415">
        <v>0</v>
      </c>
      <c r="DF415">
        <v>0</v>
      </c>
      <c r="DG415">
        <v>0</v>
      </c>
      <c r="DH415">
        <v>0</v>
      </c>
      <c r="DI415">
        <v>0</v>
      </c>
    </row>
    <row r="416" spans="1:113" x14ac:dyDescent="0.3">
      <c r="A416" t="str">
        <f>"09/28/2021 13:53:57.135"</f>
        <v>09/28/2021 13:53:57.135</v>
      </c>
      <c r="C416" t="str">
        <f t="shared" si="20"/>
        <v>FFDFD3C0</v>
      </c>
      <c r="D416" t="s">
        <v>113</v>
      </c>
      <c r="E416">
        <v>7</v>
      </c>
      <c r="H416">
        <v>170</v>
      </c>
      <c r="I416" t="s">
        <v>114</v>
      </c>
      <c r="J416" t="s">
        <v>115</v>
      </c>
      <c r="K416">
        <v>0</v>
      </c>
      <c r="L416">
        <v>3</v>
      </c>
      <c r="M416">
        <v>0</v>
      </c>
      <c r="N416">
        <v>2</v>
      </c>
      <c r="O416">
        <v>1</v>
      </c>
      <c r="P416">
        <v>0</v>
      </c>
      <c r="Q416">
        <v>0</v>
      </c>
      <c r="S416" t="str">
        <f>"13:53:56.891"</f>
        <v>13:53:56.891</v>
      </c>
      <c r="T416" t="str">
        <f>"13:53:56.391"</f>
        <v>13:53:56.391</v>
      </c>
      <c r="U416" t="str">
        <f t="shared" si="22"/>
        <v>A92BC1</v>
      </c>
      <c r="V416">
        <v>0</v>
      </c>
      <c r="W416">
        <v>0</v>
      </c>
      <c r="X416">
        <v>2</v>
      </c>
      <c r="Z416">
        <v>0</v>
      </c>
      <c r="AA416">
        <v>9</v>
      </c>
      <c r="AB416">
        <v>3</v>
      </c>
      <c r="AC416">
        <v>0</v>
      </c>
      <c r="AD416">
        <v>10</v>
      </c>
      <c r="AE416">
        <v>0</v>
      </c>
      <c r="AF416">
        <v>3</v>
      </c>
      <c r="AG416">
        <v>2</v>
      </c>
      <c r="AH416">
        <v>0</v>
      </c>
      <c r="AI416" t="s">
        <v>516</v>
      </c>
      <c r="AJ416">
        <v>45.725740999999999</v>
      </c>
      <c r="AK416" t="s">
        <v>517</v>
      </c>
      <c r="AL416">
        <v>-89.387576999999993</v>
      </c>
      <c r="AM416">
        <v>100</v>
      </c>
      <c r="AN416">
        <v>8600</v>
      </c>
      <c r="AO416" t="s">
        <v>118</v>
      </c>
      <c r="AP416">
        <v>131</v>
      </c>
      <c r="AQ416">
        <v>109</v>
      </c>
      <c r="AR416">
        <v>1984</v>
      </c>
      <c r="AZ416">
        <v>1200</v>
      </c>
      <c r="BA416">
        <v>1</v>
      </c>
      <c r="BB416" t="str">
        <f t="shared" si="21"/>
        <v xml:space="preserve">N690LS  </v>
      </c>
      <c r="BC416">
        <v>1</v>
      </c>
      <c r="BE416">
        <v>0</v>
      </c>
      <c r="BF416">
        <v>0</v>
      </c>
      <c r="BG416">
        <v>0</v>
      </c>
      <c r="BH416">
        <v>8825</v>
      </c>
      <c r="BI416">
        <v>1</v>
      </c>
      <c r="BJ416">
        <v>1</v>
      </c>
      <c r="BK416">
        <v>1</v>
      </c>
      <c r="BL416">
        <v>0</v>
      </c>
      <c r="BO416">
        <v>0</v>
      </c>
      <c r="BP416">
        <v>0</v>
      </c>
      <c r="BW416" t="str">
        <f>"13:53:56.896"</f>
        <v>13:53:56.896</v>
      </c>
      <c r="CJ416">
        <v>0</v>
      </c>
      <c r="CK416">
        <v>2</v>
      </c>
      <c r="CL416">
        <v>0</v>
      </c>
      <c r="CM416">
        <v>2</v>
      </c>
      <c r="CN416">
        <v>0</v>
      </c>
      <c r="CO416">
        <v>6</v>
      </c>
      <c r="CP416" t="s">
        <v>119</v>
      </c>
      <c r="CQ416">
        <v>209</v>
      </c>
      <c r="CR416">
        <v>3</v>
      </c>
      <c r="CW416">
        <v>7175664</v>
      </c>
      <c r="CY416">
        <v>1</v>
      </c>
      <c r="CZ416">
        <v>0</v>
      </c>
      <c r="DA416">
        <v>1</v>
      </c>
      <c r="DB416">
        <v>0</v>
      </c>
      <c r="DC416">
        <v>0</v>
      </c>
      <c r="DD416">
        <v>0</v>
      </c>
      <c r="DE416">
        <v>0</v>
      </c>
      <c r="DF416">
        <v>0</v>
      </c>
      <c r="DG416">
        <v>0</v>
      </c>
      <c r="DH416">
        <v>0</v>
      </c>
      <c r="DI416">
        <v>0</v>
      </c>
    </row>
    <row r="417" spans="1:113" x14ac:dyDescent="0.3">
      <c r="A417" t="str">
        <f>"09/28/2021 13:53:57.978"</f>
        <v>09/28/2021 13:53:57.978</v>
      </c>
      <c r="C417" t="str">
        <f t="shared" si="20"/>
        <v>FFDFD3C0</v>
      </c>
      <c r="D417" t="s">
        <v>120</v>
      </c>
      <c r="E417">
        <v>12</v>
      </c>
      <c r="F417">
        <v>1012</v>
      </c>
      <c r="G417" t="s">
        <v>114</v>
      </c>
      <c r="J417" t="s">
        <v>121</v>
      </c>
      <c r="K417">
        <v>0</v>
      </c>
      <c r="L417">
        <v>3</v>
      </c>
      <c r="M417">
        <v>0</v>
      </c>
      <c r="N417">
        <v>2</v>
      </c>
      <c r="O417">
        <v>1</v>
      </c>
      <c r="P417">
        <v>0</v>
      </c>
      <c r="Q417">
        <v>0</v>
      </c>
      <c r="S417" t="str">
        <f>"13:53:57.820"</f>
        <v>13:53:57.820</v>
      </c>
      <c r="T417" t="str">
        <f>"13:53:57.420"</f>
        <v>13:53:57.420</v>
      </c>
      <c r="U417" t="str">
        <f t="shared" si="22"/>
        <v>A92BC1</v>
      </c>
      <c r="V417">
        <v>0</v>
      </c>
      <c r="W417">
        <v>0</v>
      </c>
      <c r="X417">
        <v>2</v>
      </c>
      <c r="Z417">
        <v>0</v>
      </c>
      <c r="AA417">
        <v>9</v>
      </c>
      <c r="AB417">
        <v>3</v>
      </c>
      <c r="AC417">
        <v>0</v>
      </c>
      <c r="AD417">
        <v>10</v>
      </c>
      <c r="AE417">
        <v>0</v>
      </c>
      <c r="AF417">
        <v>3</v>
      </c>
      <c r="AG417">
        <v>2</v>
      </c>
      <c r="AH417">
        <v>0</v>
      </c>
      <c r="AI417" t="s">
        <v>518</v>
      </c>
      <c r="AJ417">
        <v>45.726255999999999</v>
      </c>
      <c r="AK417" t="s">
        <v>519</v>
      </c>
      <c r="AL417">
        <v>-89.386761000000007</v>
      </c>
      <c r="AM417">
        <v>100</v>
      </c>
      <c r="AN417">
        <v>8600</v>
      </c>
      <c r="AO417" t="s">
        <v>118</v>
      </c>
      <c r="AP417">
        <v>131</v>
      </c>
      <c r="AQ417">
        <v>109</v>
      </c>
      <c r="AR417">
        <v>1984</v>
      </c>
      <c r="AZ417">
        <v>1200</v>
      </c>
      <c r="BA417">
        <v>1</v>
      </c>
      <c r="BB417" t="str">
        <f t="shared" si="21"/>
        <v xml:space="preserve">N690LS  </v>
      </c>
      <c r="BC417">
        <v>1</v>
      </c>
      <c r="BE417">
        <v>0</v>
      </c>
      <c r="BF417">
        <v>0</v>
      </c>
      <c r="BG417">
        <v>0</v>
      </c>
      <c r="BH417">
        <v>8850</v>
      </c>
      <c r="BI417">
        <v>1</v>
      </c>
      <c r="BJ417">
        <v>1</v>
      </c>
      <c r="BK417">
        <v>1</v>
      </c>
      <c r="BL417">
        <v>0</v>
      </c>
      <c r="BO417">
        <v>0</v>
      </c>
      <c r="BP417">
        <v>0</v>
      </c>
      <c r="BW417" t="str">
        <f>"13:53:57.825"</f>
        <v>13:53:57.825</v>
      </c>
      <c r="CJ417">
        <v>0</v>
      </c>
      <c r="CK417">
        <v>2</v>
      </c>
      <c r="CL417">
        <v>0</v>
      </c>
      <c r="CM417">
        <v>2</v>
      </c>
      <c r="CN417">
        <v>0</v>
      </c>
      <c r="CO417">
        <v>6</v>
      </c>
      <c r="CP417" t="s">
        <v>119</v>
      </c>
      <c r="CQ417">
        <v>209</v>
      </c>
      <c r="CR417">
        <v>3</v>
      </c>
      <c r="CW417">
        <v>7175907</v>
      </c>
      <c r="CY417">
        <v>1</v>
      </c>
      <c r="CZ417">
        <v>0</v>
      </c>
      <c r="DA417">
        <v>0</v>
      </c>
      <c r="DB417">
        <v>0</v>
      </c>
      <c r="DC417">
        <v>0</v>
      </c>
      <c r="DD417">
        <v>0</v>
      </c>
      <c r="DE417">
        <v>0</v>
      </c>
      <c r="DF417">
        <v>0</v>
      </c>
      <c r="DG417">
        <v>0</v>
      </c>
      <c r="DH417">
        <v>0</v>
      </c>
      <c r="DI417">
        <v>0</v>
      </c>
    </row>
    <row r="418" spans="1:113" x14ac:dyDescent="0.3">
      <c r="A418" t="str">
        <f>"09/28/2021 13:53:58.057"</f>
        <v>09/28/2021 13:53:58.057</v>
      </c>
      <c r="C418" t="str">
        <f t="shared" si="20"/>
        <v>FFDFD3C0</v>
      </c>
      <c r="D418" t="s">
        <v>113</v>
      </c>
      <c r="E418">
        <v>7</v>
      </c>
      <c r="H418">
        <v>170</v>
      </c>
      <c r="I418" t="s">
        <v>114</v>
      </c>
      <c r="J418" t="s">
        <v>115</v>
      </c>
      <c r="K418">
        <v>0</v>
      </c>
      <c r="L418">
        <v>3</v>
      </c>
      <c r="M418">
        <v>0</v>
      </c>
      <c r="N418">
        <v>2</v>
      </c>
      <c r="O418">
        <v>1</v>
      </c>
      <c r="P418">
        <v>0</v>
      </c>
      <c r="Q418">
        <v>0</v>
      </c>
      <c r="S418" t="str">
        <f>"13:53:57.820"</f>
        <v>13:53:57.820</v>
      </c>
      <c r="T418" t="str">
        <f>"13:53:57.420"</f>
        <v>13:53:57.420</v>
      </c>
      <c r="U418" t="str">
        <f t="shared" si="22"/>
        <v>A92BC1</v>
      </c>
      <c r="V418">
        <v>0</v>
      </c>
      <c r="W418">
        <v>0</v>
      </c>
      <c r="X418">
        <v>2</v>
      </c>
      <c r="Z418">
        <v>0</v>
      </c>
      <c r="AA418">
        <v>9</v>
      </c>
      <c r="AB418">
        <v>3</v>
      </c>
      <c r="AC418">
        <v>0</v>
      </c>
      <c r="AD418">
        <v>10</v>
      </c>
      <c r="AE418">
        <v>0</v>
      </c>
      <c r="AF418">
        <v>3</v>
      </c>
      <c r="AG418">
        <v>2</v>
      </c>
      <c r="AH418">
        <v>0</v>
      </c>
      <c r="AI418" t="s">
        <v>518</v>
      </c>
      <c r="AJ418">
        <v>45.726255999999999</v>
      </c>
      <c r="AK418" t="s">
        <v>519</v>
      </c>
      <c r="AL418">
        <v>-89.386761000000007</v>
      </c>
      <c r="AM418">
        <v>100</v>
      </c>
      <c r="AN418">
        <v>8600</v>
      </c>
      <c r="AO418" t="s">
        <v>118</v>
      </c>
      <c r="AP418">
        <v>131</v>
      </c>
      <c r="AQ418">
        <v>109</v>
      </c>
      <c r="AR418">
        <v>1984</v>
      </c>
      <c r="AZ418">
        <v>1200</v>
      </c>
      <c r="BA418">
        <v>1</v>
      </c>
      <c r="BB418" t="str">
        <f t="shared" si="21"/>
        <v xml:space="preserve">N690LS  </v>
      </c>
      <c r="BC418">
        <v>1</v>
      </c>
      <c r="BE418">
        <v>0</v>
      </c>
      <c r="BF418">
        <v>0</v>
      </c>
      <c r="BG418">
        <v>0</v>
      </c>
      <c r="BH418">
        <v>8850</v>
      </c>
      <c r="BI418">
        <v>1</v>
      </c>
      <c r="BJ418">
        <v>1</v>
      </c>
      <c r="BK418">
        <v>1</v>
      </c>
      <c r="BL418">
        <v>0</v>
      </c>
      <c r="BO418">
        <v>0</v>
      </c>
      <c r="BP418">
        <v>0</v>
      </c>
      <c r="BW418" t="str">
        <f>"13:53:57.825"</f>
        <v>13:53:57.825</v>
      </c>
      <c r="CJ418">
        <v>0</v>
      </c>
      <c r="CK418">
        <v>2</v>
      </c>
      <c r="CL418">
        <v>0</v>
      </c>
      <c r="CM418">
        <v>2</v>
      </c>
      <c r="CN418">
        <v>0</v>
      </c>
      <c r="CO418">
        <v>6</v>
      </c>
      <c r="CP418" t="s">
        <v>119</v>
      </c>
      <c r="CQ418">
        <v>209</v>
      </c>
      <c r="CR418">
        <v>3</v>
      </c>
      <c r="CW418">
        <v>7175907</v>
      </c>
      <c r="CY418">
        <v>1</v>
      </c>
      <c r="CZ418">
        <v>0</v>
      </c>
      <c r="DA418">
        <v>1</v>
      </c>
      <c r="DB418">
        <v>0</v>
      </c>
      <c r="DC418">
        <v>0</v>
      </c>
      <c r="DD418">
        <v>0</v>
      </c>
      <c r="DE418">
        <v>0</v>
      </c>
      <c r="DF418">
        <v>0</v>
      </c>
      <c r="DG418">
        <v>0</v>
      </c>
      <c r="DH418">
        <v>0</v>
      </c>
      <c r="DI418">
        <v>0</v>
      </c>
    </row>
    <row r="419" spans="1:113" x14ac:dyDescent="0.3">
      <c r="A419" t="str">
        <f>"09/28/2021 13:53:58.995"</f>
        <v>09/28/2021 13:53:58.995</v>
      </c>
      <c r="C419" t="str">
        <f t="shared" si="20"/>
        <v>FFDFD3C0</v>
      </c>
      <c r="D419" t="s">
        <v>113</v>
      </c>
      <c r="E419">
        <v>7</v>
      </c>
      <c r="H419">
        <v>170</v>
      </c>
      <c r="I419" t="s">
        <v>114</v>
      </c>
      <c r="J419" t="s">
        <v>115</v>
      </c>
      <c r="K419">
        <v>0</v>
      </c>
      <c r="L419">
        <v>3</v>
      </c>
      <c r="M419">
        <v>0</v>
      </c>
      <c r="N419">
        <v>2</v>
      </c>
      <c r="O419">
        <v>1</v>
      </c>
      <c r="P419">
        <v>0</v>
      </c>
      <c r="Q419">
        <v>0</v>
      </c>
      <c r="S419" t="str">
        <f>"13:53:58.789"</f>
        <v>13:53:58.789</v>
      </c>
      <c r="T419" t="str">
        <f>"13:53:58.389"</f>
        <v>13:53:58.389</v>
      </c>
      <c r="U419" t="str">
        <f t="shared" si="22"/>
        <v>A92BC1</v>
      </c>
      <c r="V419">
        <v>0</v>
      </c>
      <c r="W419">
        <v>0</v>
      </c>
      <c r="X419">
        <v>2</v>
      </c>
      <c r="Z419">
        <v>0</v>
      </c>
      <c r="AA419">
        <v>9</v>
      </c>
      <c r="AB419">
        <v>3</v>
      </c>
      <c r="AC419">
        <v>0</v>
      </c>
      <c r="AD419">
        <v>10</v>
      </c>
      <c r="AE419">
        <v>0</v>
      </c>
      <c r="AF419">
        <v>3</v>
      </c>
      <c r="AG419">
        <v>2</v>
      </c>
      <c r="AH419">
        <v>0</v>
      </c>
      <c r="AI419" t="s">
        <v>520</v>
      </c>
      <c r="AJ419">
        <v>45.726706999999998</v>
      </c>
      <c r="AK419" t="s">
        <v>521</v>
      </c>
      <c r="AL419">
        <v>-89.385966999999994</v>
      </c>
      <c r="AM419">
        <v>100</v>
      </c>
      <c r="AN419">
        <v>8700</v>
      </c>
      <c r="AO419" t="s">
        <v>118</v>
      </c>
      <c r="AP419">
        <v>131</v>
      </c>
      <c r="AQ419">
        <v>109</v>
      </c>
      <c r="AR419">
        <v>1984</v>
      </c>
      <c r="AZ419">
        <v>1200</v>
      </c>
      <c r="BA419">
        <v>1</v>
      </c>
      <c r="BB419" t="str">
        <f t="shared" si="21"/>
        <v xml:space="preserve">N690LS  </v>
      </c>
      <c r="BC419">
        <v>1</v>
      </c>
      <c r="BE419">
        <v>0</v>
      </c>
      <c r="BF419">
        <v>0</v>
      </c>
      <c r="BG419">
        <v>0</v>
      </c>
      <c r="BH419">
        <v>8875</v>
      </c>
      <c r="BI419">
        <v>1</v>
      </c>
      <c r="BJ419">
        <v>1</v>
      </c>
      <c r="BK419">
        <v>1</v>
      </c>
      <c r="BL419">
        <v>0</v>
      </c>
      <c r="BO419">
        <v>0</v>
      </c>
      <c r="BP419">
        <v>0</v>
      </c>
      <c r="BW419" t="str">
        <f>"13:53:58.795"</f>
        <v>13:53:58.795</v>
      </c>
      <c r="CJ419">
        <v>0</v>
      </c>
      <c r="CK419">
        <v>2</v>
      </c>
      <c r="CL419">
        <v>0</v>
      </c>
      <c r="CM419">
        <v>2</v>
      </c>
      <c r="CN419">
        <v>0</v>
      </c>
      <c r="CO419">
        <v>6</v>
      </c>
      <c r="CP419" t="s">
        <v>119</v>
      </c>
      <c r="CQ419">
        <v>209</v>
      </c>
      <c r="CR419">
        <v>3</v>
      </c>
      <c r="CW419">
        <v>7176128</v>
      </c>
      <c r="CY419">
        <v>1</v>
      </c>
      <c r="CZ419">
        <v>0</v>
      </c>
      <c r="DA419">
        <v>0</v>
      </c>
      <c r="DB419">
        <v>0</v>
      </c>
      <c r="DC419">
        <v>0</v>
      </c>
      <c r="DD419">
        <v>0</v>
      </c>
      <c r="DE419">
        <v>0</v>
      </c>
      <c r="DF419">
        <v>0</v>
      </c>
      <c r="DG419">
        <v>0</v>
      </c>
      <c r="DH419">
        <v>0</v>
      </c>
      <c r="DI419">
        <v>0</v>
      </c>
    </row>
    <row r="420" spans="1:113" x14ac:dyDescent="0.3">
      <c r="A420" t="str">
        <f>"09/28/2021 13:53:59.026"</f>
        <v>09/28/2021 13:53:59.026</v>
      </c>
      <c r="C420" t="str">
        <f t="shared" si="20"/>
        <v>FFDFD3C0</v>
      </c>
      <c r="D420" t="s">
        <v>120</v>
      </c>
      <c r="E420">
        <v>12</v>
      </c>
      <c r="F420">
        <v>1012</v>
      </c>
      <c r="G420" t="s">
        <v>114</v>
      </c>
      <c r="J420" t="s">
        <v>121</v>
      </c>
      <c r="K420">
        <v>0</v>
      </c>
      <c r="L420">
        <v>3</v>
      </c>
      <c r="M420">
        <v>0</v>
      </c>
      <c r="N420">
        <v>2</v>
      </c>
      <c r="O420">
        <v>1</v>
      </c>
      <c r="P420">
        <v>0</v>
      </c>
      <c r="Q420">
        <v>0</v>
      </c>
      <c r="S420" t="str">
        <f>"13:53:58.789"</f>
        <v>13:53:58.789</v>
      </c>
      <c r="T420" t="str">
        <f>"13:53:58.389"</f>
        <v>13:53:58.389</v>
      </c>
      <c r="U420" t="str">
        <f t="shared" si="22"/>
        <v>A92BC1</v>
      </c>
      <c r="V420">
        <v>0</v>
      </c>
      <c r="W420">
        <v>0</v>
      </c>
      <c r="X420">
        <v>2</v>
      </c>
      <c r="Z420">
        <v>0</v>
      </c>
      <c r="AA420">
        <v>9</v>
      </c>
      <c r="AB420">
        <v>3</v>
      </c>
      <c r="AC420">
        <v>0</v>
      </c>
      <c r="AD420">
        <v>10</v>
      </c>
      <c r="AE420">
        <v>0</v>
      </c>
      <c r="AF420">
        <v>3</v>
      </c>
      <c r="AG420">
        <v>2</v>
      </c>
      <c r="AH420">
        <v>0</v>
      </c>
      <c r="AI420" t="s">
        <v>520</v>
      </c>
      <c r="AJ420">
        <v>45.726706999999998</v>
      </c>
      <c r="AK420" t="s">
        <v>521</v>
      </c>
      <c r="AL420">
        <v>-89.385966999999994</v>
      </c>
      <c r="AM420">
        <v>100</v>
      </c>
      <c r="AN420">
        <v>8700</v>
      </c>
      <c r="AO420" t="s">
        <v>118</v>
      </c>
      <c r="AP420">
        <v>131</v>
      </c>
      <c r="AQ420">
        <v>109</v>
      </c>
      <c r="AR420">
        <v>1984</v>
      </c>
      <c r="AZ420">
        <v>1200</v>
      </c>
      <c r="BA420">
        <v>1</v>
      </c>
      <c r="BB420" t="str">
        <f t="shared" si="21"/>
        <v xml:space="preserve">N690LS  </v>
      </c>
      <c r="BC420">
        <v>1</v>
      </c>
      <c r="BE420">
        <v>0</v>
      </c>
      <c r="BF420">
        <v>0</v>
      </c>
      <c r="BG420">
        <v>0</v>
      </c>
      <c r="BH420">
        <v>8875</v>
      </c>
      <c r="BI420">
        <v>1</v>
      </c>
      <c r="BJ420">
        <v>1</v>
      </c>
      <c r="BK420">
        <v>1</v>
      </c>
      <c r="BL420">
        <v>0</v>
      </c>
      <c r="BO420">
        <v>0</v>
      </c>
      <c r="BP420">
        <v>0</v>
      </c>
      <c r="BW420" t="str">
        <f>"13:53:58.795"</f>
        <v>13:53:58.795</v>
      </c>
      <c r="CJ420">
        <v>0</v>
      </c>
      <c r="CK420">
        <v>2</v>
      </c>
      <c r="CL420">
        <v>0</v>
      </c>
      <c r="CM420">
        <v>2</v>
      </c>
      <c r="CN420">
        <v>0</v>
      </c>
      <c r="CO420">
        <v>6</v>
      </c>
      <c r="CP420" t="s">
        <v>119</v>
      </c>
      <c r="CQ420">
        <v>209</v>
      </c>
      <c r="CR420">
        <v>3</v>
      </c>
      <c r="CW420">
        <v>7176128</v>
      </c>
      <c r="CY420">
        <v>1</v>
      </c>
      <c r="CZ420">
        <v>0</v>
      </c>
      <c r="DA420">
        <v>1</v>
      </c>
      <c r="DB420">
        <v>0</v>
      </c>
      <c r="DC420">
        <v>0</v>
      </c>
      <c r="DD420">
        <v>0</v>
      </c>
      <c r="DE420">
        <v>0</v>
      </c>
      <c r="DF420">
        <v>0</v>
      </c>
      <c r="DG420">
        <v>0</v>
      </c>
      <c r="DH420">
        <v>0</v>
      </c>
      <c r="DI420">
        <v>0</v>
      </c>
    </row>
    <row r="421" spans="1:113" x14ac:dyDescent="0.3">
      <c r="A421" t="str">
        <f>"09/28/2021 13:53:59.886"</f>
        <v>09/28/2021 13:53:59.886</v>
      </c>
      <c r="C421" t="str">
        <f t="shared" si="20"/>
        <v>FFDFD3C0</v>
      </c>
      <c r="D421" t="s">
        <v>113</v>
      </c>
      <c r="E421">
        <v>7</v>
      </c>
      <c r="H421">
        <v>170</v>
      </c>
      <c r="I421" t="s">
        <v>114</v>
      </c>
      <c r="J421" t="s">
        <v>115</v>
      </c>
      <c r="K421">
        <v>0</v>
      </c>
      <c r="L421">
        <v>3</v>
      </c>
      <c r="M421">
        <v>0</v>
      </c>
      <c r="N421">
        <v>2</v>
      </c>
      <c r="O421">
        <v>1</v>
      </c>
      <c r="P421">
        <v>0</v>
      </c>
      <c r="Q421">
        <v>0</v>
      </c>
      <c r="S421" t="str">
        <f>"13:53:59.656"</f>
        <v>13:53:59.656</v>
      </c>
      <c r="T421" t="str">
        <f>"13:53:59.256"</f>
        <v>13:53:59.256</v>
      </c>
      <c r="U421" t="str">
        <f t="shared" si="22"/>
        <v>A92BC1</v>
      </c>
      <c r="V421">
        <v>0</v>
      </c>
      <c r="W421">
        <v>0</v>
      </c>
      <c r="X421">
        <v>2</v>
      </c>
      <c r="Z421">
        <v>0</v>
      </c>
      <c r="AA421">
        <v>9</v>
      </c>
      <c r="AB421">
        <v>3</v>
      </c>
      <c r="AC421">
        <v>0</v>
      </c>
      <c r="AD421">
        <v>10</v>
      </c>
      <c r="AE421">
        <v>0</v>
      </c>
      <c r="AF421">
        <v>3</v>
      </c>
      <c r="AG421">
        <v>2</v>
      </c>
      <c r="AH421">
        <v>0</v>
      </c>
      <c r="AI421" t="s">
        <v>522</v>
      </c>
      <c r="AJ421">
        <v>45.727136000000002</v>
      </c>
      <c r="AK421" t="s">
        <v>523</v>
      </c>
      <c r="AL421">
        <v>-89.385172999999995</v>
      </c>
      <c r="AM421">
        <v>100</v>
      </c>
      <c r="AN421">
        <v>8700</v>
      </c>
      <c r="AO421" t="s">
        <v>118</v>
      </c>
      <c r="AP421">
        <v>132</v>
      </c>
      <c r="AQ421">
        <v>109</v>
      </c>
      <c r="AR421">
        <v>1984</v>
      </c>
      <c r="AZ421">
        <v>1200</v>
      </c>
      <c r="BA421">
        <v>1</v>
      </c>
      <c r="BB421" t="str">
        <f t="shared" si="21"/>
        <v xml:space="preserve">N690LS  </v>
      </c>
      <c r="BC421">
        <v>1</v>
      </c>
      <c r="BE421">
        <v>0</v>
      </c>
      <c r="BF421">
        <v>0</v>
      </c>
      <c r="BG421">
        <v>0</v>
      </c>
      <c r="BH421">
        <v>8925</v>
      </c>
      <c r="BI421">
        <v>1</v>
      </c>
      <c r="BJ421">
        <v>1</v>
      </c>
      <c r="BK421">
        <v>1</v>
      </c>
      <c r="BL421">
        <v>0</v>
      </c>
      <c r="BO421">
        <v>0</v>
      </c>
      <c r="BP421">
        <v>0</v>
      </c>
      <c r="BW421" t="str">
        <f>"13:53:59.663"</f>
        <v>13:53:59.663</v>
      </c>
      <c r="CJ421">
        <v>0</v>
      </c>
      <c r="CK421">
        <v>2</v>
      </c>
      <c r="CL421">
        <v>0</v>
      </c>
      <c r="CM421">
        <v>2</v>
      </c>
      <c r="CN421">
        <v>0</v>
      </c>
      <c r="CO421">
        <v>7</v>
      </c>
      <c r="CP421" t="s">
        <v>119</v>
      </c>
      <c r="CQ421">
        <v>197</v>
      </c>
      <c r="CR421">
        <v>2</v>
      </c>
      <c r="CW421">
        <v>2276463</v>
      </c>
      <c r="CY421">
        <v>1</v>
      </c>
      <c r="CZ421">
        <v>0</v>
      </c>
      <c r="DA421">
        <v>0</v>
      </c>
      <c r="DB421">
        <v>0</v>
      </c>
      <c r="DC421">
        <v>0</v>
      </c>
      <c r="DD421">
        <v>0</v>
      </c>
      <c r="DE421">
        <v>0</v>
      </c>
      <c r="DF421">
        <v>0</v>
      </c>
      <c r="DG421">
        <v>0</v>
      </c>
      <c r="DH421">
        <v>0</v>
      </c>
      <c r="DI421">
        <v>0</v>
      </c>
    </row>
    <row r="422" spans="1:113" x14ac:dyDescent="0.3">
      <c r="A422" t="str">
        <f>"09/28/2021 13:53:59.886"</f>
        <v>09/28/2021 13:53:59.886</v>
      </c>
      <c r="C422" t="str">
        <f t="shared" si="20"/>
        <v>FFDFD3C0</v>
      </c>
      <c r="D422" t="s">
        <v>120</v>
      </c>
      <c r="E422">
        <v>12</v>
      </c>
      <c r="F422">
        <v>1012</v>
      </c>
      <c r="G422" t="s">
        <v>114</v>
      </c>
      <c r="J422" t="s">
        <v>121</v>
      </c>
      <c r="K422">
        <v>0</v>
      </c>
      <c r="L422">
        <v>3</v>
      </c>
      <c r="M422">
        <v>0</v>
      </c>
      <c r="N422">
        <v>2</v>
      </c>
      <c r="O422">
        <v>1</v>
      </c>
      <c r="P422">
        <v>0</v>
      </c>
      <c r="Q422">
        <v>0</v>
      </c>
      <c r="S422" t="str">
        <f>"13:53:59.656"</f>
        <v>13:53:59.656</v>
      </c>
      <c r="T422" t="str">
        <f>"13:53:59.256"</f>
        <v>13:53:59.256</v>
      </c>
      <c r="U422" t="str">
        <f t="shared" si="22"/>
        <v>A92BC1</v>
      </c>
      <c r="V422">
        <v>0</v>
      </c>
      <c r="W422">
        <v>0</v>
      </c>
      <c r="X422">
        <v>2</v>
      </c>
      <c r="Z422">
        <v>0</v>
      </c>
      <c r="AA422">
        <v>9</v>
      </c>
      <c r="AB422">
        <v>3</v>
      </c>
      <c r="AC422">
        <v>0</v>
      </c>
      <c r="AD422">
        <v>10</v>
      </c>
      <c r="AE422">
        <v>0</v>
      </c>
      <c r="AF422">
        <v>3</v>
      </c>
      <c r="AG422">
        <v>2</v>
      </c>
      <c r="AH422">
        <v>0</v>
      </c>
      <c r="AI422" t="s">
        <v>522</v>
      </c>
      <c r="AJ422">
        <v>45.727136000000002</v>
      </c>
      <c r="AK422" t="s">
        <v>523</v>
      </c>
      <c r="AL422">
        <v>-89.385172999999995</v>
      </c>
      <c r="AM422">
        <v>100</v>
      </c>
      <c r="AN422">
        <v>8700</v>
      </c>
      <c r="AO422" t="s">
        <v>118</v>
      </c>
      <c r="AP422">
        <v>132</v>
      </c>
      <c r="AQ422">
        <v>109</v>
      </c>
      <c r="AR422">
        <v>1984</v>
      </c>
      <c r="AZ422">
        <v>1200</v>
      </c>
      <c r="BA422">
        <v>1</v>
      </c>
      <c r="BB422" t="str">
        <f t="shared" si="21"/>
        <v xml:space="preserve">N690LS  </v>
      </c>
      <c r="BC422">
        <v>1</v>
      </c>
      <c r="BE422">
        <v>0</v>
      </c>
      <c r="BF422">
        <v>0</v>
      </c>
      <c r="BG422">
        <v>0</v>
      </c>
      <c r="BH422">
        <v>8925</v>
      </c>
      <c r="BI422">
        <v>1</v>
      </c>
      <c r="BJ422">
        <v>1</v>
      </c>
      <c r="BK422">
        <v>1</v>
      </c>
      <c r="BL422">
        <v>0</v>
      </c>
      <c r="BO422">
        <v>0</v>
      </c>
      <c r="BP422">
        <v>0</v>
      </c>
      <c r="BW422" t="str">
        <f>"13:53:59.663"</f>
        <v>13:53:59.663</v>
      </c>
      <c r="CJ422">
        <v>0</v>
      </c>
      <c r="CK422">
        <v>2</v>
      </c>
      <c r="CL422">
        <v>0</v>
      </c>
      <c r="CM422">
        <v>2</v>
      </c>
      <c r="CN422">
        <v>0</v>
      </c>
      <c r="CO422">
        <v>7</v>
      </c>
      <c r="CP422" t="s">
        <v>119</v>
      </c>
      <c r="CQ422">
        <v>197</v>
      </c>
      <c r="CR422">
        <v>2</v>
      </c>
      <c r="CW422">
        <v>2276463</v>
      </c>
      <c r="CY422">
        <v>1</v>
      </c>
      <c r="CZ422">
        <v>0</v>
      </c>
      <c r="DA422">
        <v>1</v>
      </c>
      <c r="DB422">
        <v>0</v>
      </c>
      <c r="DC422">
        <v>0</v>
      </c>
      <c r="DD422">
        <v>0</v>
      </c>
      <c r="DE422">
        <v>0</v>
      </c>
      <c r="DF422">
        <v>0</v>
      </c>
      <c r="DG422">
        <v>0</v>
      </c>
      <c r="DH422">
        <v>0</v>
      </c>
      <c r="DI422">
        <v>0</v>
      </c>
    </row>
    <row r="423" spans="1:113" x14ac:dyDescent="0.3">
      <c r="A423" t="str">
        <f>"09/28/2021 13:54:00.886"</f>
        <v>09/28/2021 13:54:00.886</v>
      </c>
      <c r="C423" t="str">
        <f t="shared" ref="C423:C486" si="23">"FFDFD3C0"</f>
        <v>FFDFD3C0</v>
      </c>
      <c r="D423" t="s">
        <v>113</v>
      </c>
      <c r="E423">
        <v>7</v>
      </c>
      <c r="H423">
        <v>170</v>
      </c>
      <c r="I423" t="s">
        <v>114</v>
      </c>
      <c r="J423" t="s">
        <v>115</v>
      </c>
      <c r="K423">
        <v>0</v>
      </c>
      <c r="L423">
        <v>3</v>
      </c>
      <c r="M423">
        <v>0</v>
      </c>
      <c r="N423">
        <v>2</v>
      </c>
      <c r="O423">
        <v>1</v>
      </c>
      <c r="P423">
        <v>0</v>
      </c>
      <c r="Q423">
        <v>0</v>
      </c>
      <c r="S423" t="str">
        <f>"13:54:00.664"</f>
        <v>13:54:00.664</v>
      </c>
      <c r="T423" t="str">
        <f>"13:54:00.164"</f>
        <v>13:54:00.164</v>
      </c>
      <c r="U423" t="str">
        <f t="shared" si="22"/>
        <v>A92BC1</v>
      </c>
      <c r="V423">
        <v>0</v>
      </c>
      <c r="W423">
        <v>0</v>
      </c>
      <c r="X423">
        <v>2</v>
      </c>
      <c r="Z423">
        <v>0</v>
      </c>
      <c r="AA423">
        <v>9</v>
      </c>
      <c r="AB423">
        <v>3</v>
      </c>
      <c r="AC423">
        <v>0</v>
      </c>
      <c r="AD423">
        <v>10</v>
      </c>
      <c r="AE423">
        <v>0</v>
      </c>
      <c r="AF423">
        <v>3</v>
      </c>
      <c r="AG423">
        <v>2</v>
      </c>
      <c r="AH423">
        <v>0</v>
      </c>
      <c r="AI423" t="s">
        <v>524</v>
      </c>
      <c r="AJ423">
        <v>45.727651000000002</v>
      </c>
      <c r="AK423" t="s">
        <v>525</v>
      </c>
      <c r="AL423">
        <v>-89.384293999999997</v>
      </c>
      <c r="AM423">
        <v>100</v>
      </c>
      <c r="AN423">
        <v>8700</v>
      </c>
      <c r="AO423" t="s">
        <v>118</v>
      </c>
      <c r="AP423">
        <v>132</v>
      </c>
      <c r="AQ423">
        <v>109</v>
      </c>
      <c r="AR423">
        <v>1984</v>
      </c>
      <c r="AZ423">
        <v>1200</v>
      </c>
      <c r="BA423">
        <v>1</v>
      </c>
      <c r="BB423" t="str">
        <f t="shared" ref="BB423:BB486" si="24">"N690LS  "</f>
        <v xml:space="preserve">N690LS  </v>
      </c>
      <c r="BC423">
        <v>1</v>
      </c>
      <c r="BE423">
        <v>0</v>
      </c>
      <c r="BF423">
        <v>0</v>
      </c>
      <c r="BG423">
        <v>0</v>
      </c>
      <c r="BH423">
        <v>8950</v>
      </c>
      <c r="BI423">
        <v>1</v>
      </c>
      <c r="BJ423">
        <v>1</v>
      </c>
      <c r="BK423">
        <v>1</v>
      </c>
      <c r="BL423">
        <v>0</v>
      </c>
      <c r="BO423">
        <v>0</v>
      </c>
      <c r="BP423">
        <v>0</v>
      </c>
      <c r="BW423" t="str">
        <f>"13:54:00.669"</f>
        <v>13:54:00.669</v>
      </c>
      <c r="CJ423">
        <v>0</v>
      </c>
      <c r="CK423">
        <v>2</v>
      </c>
      <c r="CL423">
        <v>0</v>
      </c>
      <c r="CM423">
        <v>2</v>
      </c>
      <c r="CN423">
        <v>0</v>
      </c>
      <c r="CO423">
        <v>7</v>
      </c>
      <c r="CP423" t="s">
        <v>119</v>
      </c>
      <c r="CQ423">
        <v>197</v>
      </c>
      <c r="CR423">
        <v>2</v>
      </c>
      <c r="CW423">
        <v>2277385</v>
      </c>
      <c r="CY423">
        <v>1</v>
      </c>
      <c r="CZ423">
        <v>0</v>
      </c>
      <c r="DA423">
        <v>0</v>
      </c>
      <c r="DB423">
        <v>0</v>
      </c>
      <c r="DC423">
        <v>0</v>
      </c>
      <c r="DD423">
        <v>0</v>
      </c>
      <c r="DE423">
        <v>0</v>
      </c>
      <c r="DF423">
        <v>0</v>
      </c>
      <c r="DG423">
        <v>0</v>
      </c>
      <c r="DH423">
        <v>0</v>
      </c>
      <c r="DI423">
        <v>0</v>
      </c>
    </row>
    <row r="424" spans="1:113" x14ac:dyDescent="0.3">
      <c r="A424" t="str">
        <f>"09/28/2021 13:54:00.886"</f>
        <v>09/28/2021 13:54:00.886</v>
      </c>
      <c r="C424" t="str">
        <f t="shared" si="23"/>
        <v>FFDFD3C0</v>
      </c>
      <c r="D424" t="s">
        <v>120</v>
      </c>
      <c r="E424">
        <v>12</v>
      </c>
      <c r="F424">
        <v>1012</v>
      </c>
      <c r="G424" t="s">
        <v>114</v>
      </c>
      <c r="J424" t="s">
        <v>121</v>
      </c>
      <c r="K424">
        <v>0</v>
      </c>
      <c r="L424">
        <v>3</v>
      </c>
      <c r="M424">
        <v>0</v>
      </c>
      <c r="N424">
        <v>2</v>
      </c>
      <c r="O424">
        <v>1</v>
      </c>
      <c r="P424">
        <v>0</v>
      </c>
      <c r="Q424">
        <v>0</v>
      </c>
      <c r="S424" t="str">
        <f>"13:54:00.664"</f>
        <v>13:54:00.664</v>
      </c>
      <c r="T424" t="str">
        <f>"13:54:00.164"</f>
        <v>13:54:00.164</v>
      </c>
      <c r="U424" t="str">
        <f t="shared" si="22"/>
        <v>A92BC1</v>
      </c>
      <c r="V424">
        <v>0</v>
      </c>
      <c r="W424">
        <v>0</v>
      </c>
      <c r="X424">
        <v>2</v>
      </c>
      <c r="Z424">
        <v>0</v>
      </c>
      <c r="AA424">
        <v>9</v>
      </c>
      <c r="AB424">
        <v>3</v>
      </c>
      <c r="AC424">
        <v>0</v>
      </c>
      <c r="AD424">
        <v>10</v>
      </c>
      <c r="AE424">
        <v>0</v>
      </c>
      <c r="AF424">
        <v>3</v>
      </c>
      <c r="AG424">
        <v>2</v>
      </c>
      <c r="AH424">
        <v>0</v>
      </c>
      <c r="AI424" t="s">
        <v>524</v>
      </c>
      <c r="AJ424">
        <v>45.727651000000002</v>
      </c>
      <c r="AK424" t="s">
        <v>525</v>
      </c>
      <c r="AL424">
        <v>-89.384293999999997</v>
      </c>
      <c r="AM424">
        <v>100</v>
      </c>
      <c r="AN424">
        <v>8700</v>
      </c>
      <c r="AO424" t="s">
        <v>118</v>
      </c>
      <c r="AP424">
        <v>132</v>
      </c>
      <c r="AQ424">
        <v>109</v>
      </c>
      <c r="AR424">
        <v>1984</v>
      </c>
      <c r="AZ424">
        <v>1200</v>
      </c>
      <c r="BA424">
        <v>1</v>
      </c>
      <c r="BB424" t="str">
        <f t="shared" si="24"/>
        <v xml:space="preserve">N690LS  </v>
      </c>
      <c r="BC424">
        <v>1</v>
      </c>
      <c r="BE424">
        <v>0</v>
      </c>
      <c r="BF424">
        <v>0</v>
      </c>
      <c r="BG424">
        <v>0</v>
      </c>
      <c r="BH424">
        <v>8950</v>
      </c>
      <c r="BI424">
        <v>1</v>
      </c>
      <c r="BJ424">
        <v>1</v>
      </c>
      <c r="BK424">
        <v>1</v>
      </c>
      <c r="BL424">
        <v>0</v>
      </c>
      <c r="BO424">
        <v>0</v>
      </c>
      <c r="BP424">
        <v>0</v>
      </c>
      <c r="BW424" t="str">
        <f>"13:54:00.669"</f>
        <v>13:54:00.669</v>
      </c>
      <c r="CJ424">
        <v>0</v>
      </c>
      <c r="CK424">
        <v>2</v>
      </c>
      <c r="CL424">
        <v>0</v>
      </c>
      <c r="CM424">
        <v>2</v>
      </c>
      <c r="CN424">
        <v>0</v>
      </c>
      <c r="CO424">
        <v>7</v>
      </c>
      <c r="CP424" t="s">
        <v>119</v>
      </c>
      <c r="CQ424">
        <v>197</v>
      </c>
      <c r="CR424">
        <v>2</v>
      </c>
      <c r="CW424">
        <v>2277385</v>
      </c>
      <c r="CY424">
        <v>1</v>
      </c>
      <c r="CZ424">
        <v>0</v>
      </c>
      <c r="DA424">
        <v>1</v>
      </c>
      <c r="DB424">
        <v>0</v>
      </c>
      <c r="DC424">
        <v>0</v>
      </c>
      <c r="DD424">
        <v>0</v>
      </c>
      <c r="DE424">
        <v>0</v>
      </c>
      <c r="DF424">
        <v>0</v>
      </c>
      <c r="DG424">
        <v>0</v>
      </c>
      <c r="DH424">
        <v>0</v>
      </c>
      <c r="DI424">
        <v>0</v>
      </c>
    </row>
    <row r="425" spans="1:113" x14ac:dyDescent="0.3">
      <c r="A425" t="str">
        <f>"09/28/2021 13:54:01.853"</f>
        <v>09/28/2021 13:54:01.853</v>
      </c>
      <c r="C425" t="str">
        <f t="shared" si="23"/>
        <v>FFDFD3C0</v>
      </c>
      <c r="D425" t="s">
        <v>113</v>
      </c>
      <c r="E425">
        <v>7</v>
      </c>
      <c r="H425">
        <v>170</v>
      </c>
      <c r="I425" t="s">
        <v>114</v>
      </c>
      <c r="J425" t="s">
        <v>115</v>
      </c>
      <c r="K425">
        <v>0</v>
      </c>
      <c r="L425">
        <v>3</v>
      </c>
      <c r="M425">
        <v>0</v>
      </c>
      <c r="N425">
        <v>2</v>
      </c>
      <c r="O425">
        <v>1</v>
      </c>
      <c r="P425">
        <v>0</v>
      </c>
      <c r="Q425">
        <v>0</v>
      </c>
      <c r="S425" t="str">
        <f>"13:54:01.641"</f>
        <v>13:54:01.641</v>
      </c>
      <c r="T425" t="str">
        <f>"13:54:01.241"</f>
        <v>13:54:01.241</v>
      </c>
      <c r="U425" t="str">
        <f t="shared" si="22"/>
        <v>A92BC1</v>
      </c>
      <c r="V425">
        <v>0</v>
      </c>
      <c r="W425">
        <v>0</v>
      </c>
      <c r="X425">
        <v>2</v>
      </c>
      <c r="Z425">
        <v>0</v>
      </c>
      <c r="AA425">
        <v>9</v>
      </c>
      <c r="AB425">
        <v>3</v>
      </c>
      <c r="AC425">
        <v>0</v>
      </c>
      <c r="AD425">
        <v>10</v>
      </c>
      <c r="AE425">
        <v>0</v>
      </c>
      <c r="AF425">
        <v>3</v>
      </c>
      <c r="AG425">
        <v>2</v>
      </c>
      <c r="AH425">
        <v>0</v>
      </c>
      <c r="AI425" t="s">
        <v>526</v>
      </c>
      <c r="AJ425">
        <v>45.728166000000002</v>
      </c>
      <c r="AK425" t="s">
        <v>527</v>
      </c>
      <c r="AL425">
        <v>-89.383457000000007</v>
      </c>
      <c r="AM425">
        <v>100</v>
      </c>
      <c r="AN425">
        <v>8800</v>
      </c>
      <c r="AO425" t="s">
        <v>118</v>
      </c>
      <c r="AP425">
        <v>132</v>
      </c>
      <c r="AQ425">
        <v>109</v>
      </c>
      <c r="AR425">
        <v>1984</v>
      </c>
      <c r="AZ425">
        <v>1200</v>
      </c>
      <c r="BA425">
        <v>1</v>
      </c>
      <c r="BB425" t="str">
        <f t="shared" si="24"/>
        <v xml:space="preserve">N690LS  </v>
      </c>
      <c r="BC425">
        <v>1</v>
      </c>
      <c r="BE425">
        <v>0</v>
      </c>
      <c r="BF425">
        <v>0</v>
      </c>
      <c r="BG425">
        <v>0</v>
      </c>
      <c r="BH425">
        <v>8975</v>
      </c>
      <c r="BI425">
        <v>1</v>
      </c>
      <c r="BJ425">
        <v>1</v>
      </c>
      <c r="BK425">
        <v>1</v>
      </c>
      <c r="BL425">
        <v>0</v>
      </c>
      <c r="BO425">
        <v>0</v>
      </c>
      <c r="BP425">
        <v>0</v>
      </c>
      <c r="BW425" t="str">
        <f>"13:54:01.647"</f>
        <v>13:54:01.647</v>
      </c>
      <c r="CJ425">
        <v>0</v>
      </c>
      <c r="CK425">
        <v>2</v>
      </c>
      <c r="CL425">
        <v>0</v>
      </c>
      <c r="CM425">
        <v>2</v>
      </c>
      <c r="CN425">
        <v>0</v>
      </c>
      <c r="CO425">
        <v>7</v>
      </c>
      <c r="CP425" t="s">
        <v>119</v>
      </c>
      <c r="CQ425">
        <v>197</v>
      </c>
      <c r="CR425">
        <v>2</v>
      </c>
      <c r="CW425">
        <v>2278276</v>
      </c>
      <c r="CY425">
        <v>1</v>
      </c>
      <c r="CZ425">
        <v>0</v>
      </c>
      <c r="DA425">
        <v>0</v>
      </c>
      <c r="DB425">
        <v>0</v>
      </c>
      <c r="DC425">
        <v>0</v>
      </c>
      <c r="DD425">
        <v>0</v>
      </c>
      <c r="DE425">
        <v>0</v>
      </c>
      <c r="DF425">
        <v>0</v>
      </c>
      <c r="DG425">
        <v>0</v>
      </c>
      <c r="DH425">
        <v>0</v>
      </c>
      <c r="DI425">
        <v>0</v>
      </c>
    </row>
    <row r="426" spans="1:113" x14ac:dyDescent="0.3">
      <c r="A426" t="str">
        <f>"09/28/2021 13:54:01.853"</f>
        <v>09/28/2021 13:54:01.853</v>
      </c>
      <c r="C426" t="str">
        <f t="shared" si="23"/>
        <v>FFDFD3C0</v>
      </c>
      <c r="D426" t="s">
        <v>120</v>
      </c>
      <c r="E426">
        <v>12</v>
      </c>
      <c r="F426">
        <v>1012</v>
      </c>
      <c r="G426" t="s">
        <v>114</v>
      </c>
      <c r="J426" t="s">
        <v>121</v>
      </c>
      <c r="K426">
        <v>0</v>
      </c>
      <c r="L426">
        <v>3</v>
      </c>
      <c r="M426">
        <v>0</v>
      </c>
      <c r="N426">
        <v>2</v>
      </c>
      <c r="O426">
        <v>1</v>
      </c>
      <c r="P426">
        <v>0</v>
      </c>
      <c r="Q426">
        <v>0</v>
      </c>
      <c r="S426" t="str">
        <f>"13:54:01.641"</f>
        <v>13:54:01.641</v>
      </c>
      <c r="T426" t="str">
        <f>"13:54:01.241"</f>
        <v>13:54:01.241</v>
      </c>
      <c r="U426" t="str">
        <f t="shared" si="22"/>
        <v>A92BC1</v>
      </c>
      <c r="V426">
        <v>0</v>
      </c>
      <c r="W426">
        <v>0</v>
      </c>
      <c r="X426">
        <v>2</v>
      </c>
      <c r="Z426">
        <v>0</v>
      </c>
      <c r="AA426">
        <v>9</v>
      </c>
      <c r="AB426">
        <v>3</v>
      </c>
      <c r="AC426">
        <v>0</v>
      </c>
      <c r="AD426">
        <v>10</v>
      </c>
      <c r="AE426">
        <v>0</v>
      </c>
      <c r="AF426">
        <v>3</v>
      </c>
      <c r="AG426">
        <v>2</v>
      </c>
      <c r="AH426">
        <v>0</v>
      </c>
      <c r="AI426" t="s">
        <v>526</v>
      </c>
      <c r="AJ426">
        <v>45.728166000000002</v>
      </c>
      <c r="AK426" t="s">
        <v>527</v>
      </c>
      <c r="AL426">
        <v>-89.383457000000007</v>
      </c>
      <c r="AM426">
        <v>100</v>
      </c>
      <c r="AN426">
        <v>8800</v>
      </c>
      <c r="AO426" t="s">
        <v>118</v>
      </c>
      <c r="AP426">
        <v>132</v>
      </c>
      <c r="AQ426">
        <v>109</v>
      </c>
      <c r="AR426">
        <v>1984</v>
      </c>
      <c r="AZ426">
        <v>1200</v>
      </c>
      <c r="BA426">
        <v>1</v>
      </c>
      <c r="BB426" t="str">
        <f t="shared" si="24"/>
        <v xml:space="preserve">N690LS  </v>
      </c>
      <c r="BC426">
        <v>1</v>
      </c>
      <c r="BE426">
        <v>0</v>
      </c>
      <c r="BF426">
        <v>0</v>
      </c>
      <c r="BG426">
        <v>0</v>
      </c>
      <c r="BH426">
        <v>8975</v>
      </c>
      <c r="BI426">
        <v>1</v>
      </c>
      <c r="BJ426">
        <v>1</v>
      </c>
      <c r="BK426">
        <v>1</v>
      </c>
      <c r="BL426">
        <v>0</v>
      </c>
      <c r="BO426">
        <v>0</v>
      </c>
      <c r="BP426">
        <v>0</v>
      </c>
      <c r="BW426" t="str">
        <f>"13:54:01.647"</f>
        <v>13:54:01.647</v>
      </c>
      <c r="CJ426">
        <v>0</v>
      </c>
      <c r="CK426">
        <v>2</v>
      </c>
      <c r="CL426">
        <v>0</v>
      </c>
      <c r="CM426">
        <v>2</v>
      </c>
      <c r="CN426">
        <v>0</v>
      </c>
      <c r="CO426">
        <v>7</v>
      </c>
      <c r="CP426" t="s">
        <v>119</v>
      </c>
      <c r="CQ426">
        <v>197</v>
      </c>
      <c r="CR426">
        <v>2</v>
      </c>
      <c r="CW426">
        <v>2278276</v>
      </c>
      <c r="CY426">
        <v>1</v>
      </c>
      <c r="CZ426">
        <v>0</v>
      </c>
      <c r="DA426">
        <v>1</v>
      </c>
      <c r="DB426">
        <v>0</v>
      </c>
      <c r="DC426">
        <v>0</v>
      </c>
      <c r="DD426">
        <v>0</v>
      </c>
      <c r="DE426">
        <v>0</v>
      </c>
      <c r="DF426">
        <v>0</v>
      </c>
      <c r="DG426">
        <v>0</v>
      </c>
      <c r="DH426">
        <v>0</v>
      </c>
      <c r="DI426">
        <v>0</v>
      </c>
    </row>
    <row r="427" spans="1:113" x14ac:dyDescent="0.3">
      <c r="A427" t="str">
        <f>"09/28/2021 13:54:02.806"</f>
        <v>09/28/2021 13:54:02.806</v>
      </c>
      <c r="C427" t="str">
        <f t="shared" si="23"/>
        <v>FFDFD3C0</v>
      </c>
      <c r="D427" t="s">
        <v>120</v>
      </c>
      <c r="E427">
        <v>12</v>
      </c>
      <c r="F427">
        <v>1012</v>
      </c>
      <c r="G427" t="s">
        <v>114</v>
      </c>
      <c r="J427" t="s">
        <v>121</v>
      </c>
      <c r="K427">
        <v>0</v>
      </c>
      <c r="L427">
        <v>3</v>
      </c>
      <c r="M427">
        <v>0</v>
      </c>
      <c r="N427">
        <v>2</v>
      </c>
      <c r="O427">
        <v>1</v>
      </c>
      <c r="P427">
        <v>0</v>
      </c>
      <c r="Q427">
        <v>0</v>
      </c>
      <c r="S427" t="str">
        <f>"13:54:02.578"</f>
        <v>13:54:02.578</v>
      </c>
      <c r="T427" t="str">
        <f>"13:54:02.178"</f>
        <v>13:54:02.178</v>
      </c>
      <c r="U427" t="str">
        <f t="shared" si="22"/>
        <v>A92BC1</v>
      </c>
      <c r="V427">
        <v>0</v>
      </c>
      <c r="W427">
        <v>0</v>
      </c>
      <c r="X427">
        <v>2</v>
      </c>
      <c r="Z427">
        <v>0</v>
      </c>
      <c r="AA427">
        <v>9</v>
      </c>
      <c r="AB427">
        <v>3</v>
      </c>
      <c r="AC427">
        <v>0</v>
      </c>
      <c r="AD427">
        <v>10</v>
      </c>
      <c r="AE427">
        <v>0</v>
      </c>
      <c r="AF427">
        <v>3</v>
      </c>
      <c r="AG427">
        <v>2</v>
      </c>
      <c r="AH427">
        <v>0</v>
      </c>
      <c r="AI427" t="s">
        <v>528</v>
      </c>
      <c r="AJ427">
        <v>45.728617</v>
      </c>
      <c r="AK427" t="s">
        <v>529</v>
      </c>
      <c r="AL427">
        <v>-89.382683999999998</v>
      </c>
      <c r="AM427">
        <v>100</v>
      </c>
      <c r="AN427">
        <v>8800</v>
      </c>
      <c r="AO427" t="s">
        <v>118</v>
      </c>
      <c r="AP427">
        <v>132</v>
      </c>
      <c r="AQ427">
        <v>109</v>
      </c>
      <c r="AR427">
        <v>1984</v>
      </c>
      <c r="AZ427">
        <v>1200</v>
      </c>
      <c r="BA427">
        <v>1</v>
      </c>
      <c r="BB427" t="str">
        <f t="shared" si="24"/>
        <v xml:space="preserve">N690LS  </v>
      </c>
      <c r="BC427">
        <v>1</v>
      </c>
      <c r="BE427">
        <v>0</v>
      </c>
      <c r="BF427">
        <v>0</v>
      </c>
      <c r="BG427">
        <v>0</v>
      </c>
      <c r="BH427">
        <v>9000</v>
      </c>
      <c r="BI427">
        <v>1</v>
      </c>
      <c r="BJ427">
        <v>1</v>
      </c>
      <c r="BK427">
        <v>1</v>
      </c>
      <c r="BL427">
        <v>0</v>
      </c>
      <c r="BO427">
        <v>0</v>
      </c>
      <c r="BP427">
        <v>0</v>
      </c>
      <c r="BW427" t="str">
        <f>"13:54:02.581"</f>
        <v>13:54:02.581</v>
      </c>
      <c r="CJ427">
        <v>0</v>
      </c>
      <c r="CK427">
        <v>2</v>
      </c>
      <c r="CL427">
        <v>0</v>
      </c>
      <c r="CM427">
        <v>2</v>
      </c>
      <c r="CN427">
        <v>0</v>
      </c>
      <c r="CO427">
        <v>7</v>
      </c>
      <c r="CP427" t="s">
        <v>119</v>
      </c>
      <c r="CQ427">
        <v>197</v>
      </c>
      <c r="CR427">
        <v>2</v>
      </c>
      <c r="CW427">
        <v>2279094</v>
      </c>
      <c r="CY427">
        <v>1</v>
      </c>
      <c r="CZ427">
        <v>0</v>
      </c>
      <c r="DA427">
        <v>0</v>
      </c>
      <c r="DB427">
        <v>0</v>
      </c>
      <c r="DC427">
        <v>0</v>
      </c>
      <c r="DD427">
        <v>0</v>
      </c>
      <c r="DE427">
        <v>0</v>
      </c>
      <c r="DF427">
        <v>0</v>
      </c>
      <c r="DG427">
        <v>0</v>
      </c>
      <c r="DH427">
        <v>0</v>
      </c>
      <c r="DI427">
        <v>0</v>
      </c>
    </row>
    <row r="428" spans="1:113" x14ac:dyDescent="0.3">
      <c r="A428" t="str">
        <f>"09/28/2021 13:54:02.806"</f>
        <v>09/28/2021 13:54:02.806</v>
      </c>
      <c r="C428" t="str">
        <f t="shared" si="23"/>
        <v>FFDFD3C0</v>
      </c>
      <c r="D428" t="s">
        <v>113</v>
      </c>
      <c r="E428">
        <v>7</v>
      </c>
      <c r="H428">
        <v>170</v>
      </c>
      <c r="I428" t="s">
        <v>114</v>
      </c>
      <c r="J428" t="s">
        <v>115</v>
      </c>
      <c r="K428">
        <v>0</v>
      </c>
      <c r="L428">
        <v>3</v>
      </c>
      <c r="M428">
        <v>0</v>
      </c>
      <c r="N428">
        <v>2</v>
      </c>
      <c r="O428">
        <v>1</v>
      </c>
      <c r="P428">
        <v>0</v>
      </c>
      <c r="Q428">
        <v>0</v>
      </c>
      <c r="S428" t="str">
        <f>"13:54:02.578"</f>
        <v>13:54:02.578</v>
      </c>
      <c r="T428" t="str">
        <f>"13:54:02.178"</f>
        <v>13:54:02.178</v>
      </c>
      <c r="U428" t="str">
        <f t="shared" si="22"/>
        <v>A92BC1</v>
      </c>
      <c r="V428">
        <v>0</v>
      </c>
      <c r="W428">
        <v>0</v>
      </c>
      <c r="X428">
        <v>2</v>
      </c>
      <c r="Z428">
        <v>0</v>
      </c>
      <c r="AA428">
        <v>9</v>
      </c>
      <c r="AB428">
        <v>3</v>
      </c>
      <c r="AC428">
        <v>0</v>
      </c>
      <c r="AD428">
        <v>10</v>
      </c>
      <c r="AE428">
        <v>0</v>
      </c>
      <c r="AF428">
        <v>3</v>
      </c>
      <c r="AG428">
        <v>2</v>
      </c>
      <c r="AH428">
        <v>0</v>
      </c>
      <c r="AI428" t="s">
        <v>528</v>
      </c>
      <c r="AJ428">
        <v>45.728617</v>
      </c>
      <c r="AK428" t="s">
        <v>529</v>
      </c>
      <c r="AL428">
        <v>-89.382683999999998</v>
      </c>
      <c r="AM428">
        <v>100</v>
      </c>
      <c r="AN428">
        <v>8800</v>
      </c>
      <c r="AO428" t="s">
        <v>118</v>
      </c>
      <c r="AP428">
        <v>132</v>
      </c>
      <c r="AQ428">
        <v>109</v>
      </c>
      <c r="AR428">
        <v>1984</v>
      </c>
      <c r="AZ428">
        <v>1200</v>
      </c>
      <c r="BA428">
        <v>1</v>
      </c>
      <c r="BB428" t="str">
        <f t="shared" si="24"/>
        <v xml:space="preserve">N690LS  </v>
      </c>
      <c r="BC428">
        <v>1</v>
      </c>
      <c r="BE428">
        <v>0</v>
      </c>
      <c r="BF428">
        <v>0</v>
      </c>
      <c r="BG428">
        <v>0</v>
      </c>
      <c r="BH428">
        <v>9000</v>
      </c>
      <c r="BI428">
        <v>1</v>
      </c>
      <c r="BJ428">
        <v>1</v>
      </c>
      <c r="BK428">
        <v>1</v>
      </c>
      <c r="BL428">
        <v>0</v>
      </c>
      <c r="BO428">
        <v>0</v>
      </c>
      <c r="BP428">
        <v>0</v>
      </c>
      <c r="BW428" t="str">
        <f>"13:54:02.581"</f>
        <v>13:54:02.581</v>
      </c>
      <c r="CJ428">
        <v>0</v>
      </c>
      <c r="CK428">
        <v>2</v>
      </c>
      <c r="CL428">
        <v>0</v>
      </c>
      <c r="CM428">
        <v>2</v>
      </c>
      <c r="CN428">
        <v>0</v>
      </c>
      <c r="CO428">
        <v>7</v>
      </c>
      <c r="CP428" t="s">
        <v>119</v>
      </c>
      <c r="CQ428">
        <v>197</v>
      </c>
      <c r="CR428">
        <v>2</v>
      </c>
      <c r="CW428">
        <v>2279094</v>
      </c>
      <c r="CY428">
        <v>1</v>
      </c>
      <c r="CZ428">
        <v>0</v>
      </c>
      <c r="DA428">
        <v>1</v>
      </c>
      <c r="DB428">
        <v>0</v>
      </c>
      <c r="DC428">
        <v>0</v>
      </c>
      <c r="DD428">
        <v>0</v>
      </c>
      <c r="DE428">
        <v>0</v>
      </c>
      <c r="DF428">
        <v>0</v>
      </c>
      <c r="DG428">
        <v>0</v>
      </c>
      <c r="DH428">
        <v>0</v>
      </c>
      <c r="DI428">
        <v>0</v>
      </c>
    </row>
    <row r="429" spans="1:113" x14ac:dyDescent="0.3">
      <c r="A429" t="str">
        <f>"09/28/2021 13:54:03.651"</f>
        <v>09/28/2021 13:54:03.651</v>
      </c>
      <c r="C429" t="str">
        <f t="shared" si="23"/>
        <v>FFDFD3C0</v>
      </c>
      <c r="D429" t="s">
        <v>120</v>
      </c>
      <c r="E429">
        <v>12</v>
      </c>
      <c r="F429">
        <v>1012</v>
      </c>
      <c r="G429" t="s">
        <v>114</v>
      </c>
      <c r="J429" t="s">
        <v>121</v>
      </c>
      <c r="K429">
        <v>0</v>
      </c>
      <c r="L429">
        <v>3</v>
      </c>
      <c r="M429">
        <v>0</v>
      </c>
      <c r="N429">
        <v>2</v>
      </c>
      <c r="O429">
        <v>1</v>
      </c>
      <c r="P429">
        <v>0</v>
      </c>
      <c r="Q429">
        <v>0</v>
      </c>
      <c r="S429" t="str">
        <f>"13:54:03.445"</f>
        <v>13:54:03.445</v>
      </c>
      <c r="T429" t="str">
        <f>"13:54:03.045"</f>
        <v>13:54:03.045</v>
      </c>
      <c r="U429" t="str">
        <f t="shared" si="22"/>
        <v>A92BC1</v>
      </c>
      <c r="V429">
        <v>0</v>
      </c>
      <c r="W429">
        <v>0</v>
      </c>
      <c r="X429">
        <v>2</v>
      </c>
      <c r="Z429">
        <v>0</v>
      </c>
      <c r="AA429">
        <v>9</v>
      </c>
      <c r="AB429">
        <v>3</v>
      </c>
      <c r="AC429">
        <v>0</v>
      </c>
      <c r="AD429">
        <v>10</v>
      </c>
      <c r="AE429">
        <v>0</v>
      </c>
      <c r="AF429">
        <v>3</v>
      </c>
      <c r="AG429">
        <v>2</v>
      </c>
      <c r="AH429">
        <v>0</v>
      </c>
      <c r="AI429" t="s">
        <v>530</v>
      </c>
      <c r="AJ429">
        <v>45.729045999999997</v>
      </c>
      <c r="AK429" t="s">
        <v>531</v>
      </c>
      <c r="AL429">
        <v>-89.381889999999999</v>
      </c>
      <c r="AM429">
        <v>100</v>
      </c>
      <c r="AN429">
        <v>8800</v>
      </c>
      <c r="AO429" t="s">
        <v>118</v>
      </c>
      <c r="AP429">
        <v>132</v>
      </c>
      <c r="AQ429">
        <v>109</v>
      </c>
      <c r="AR429">
        <v>1984</v>
      </c>
      <c r="AZ429">
        <v>1200</v>
      </c>
      <c r="BA429">
        <v>1</v>
      </c>
      <c r="BB429" t="str">
        <f t="shared" si="24"/>
        <v xml:space="preserve">N690LS  </v>
      </c>
      <c r="BC429">
        <v>1</v>
      </c>
      <c r="BE429">
        <v>0</v>
      </c>
      <c r="BF429">
        <v>0</v>
      </c>
      <c r="BG429">
        <v>0</v>
      </c>
      <c r="BH429">
        <v>9025</v>
      </c>
      <c r="BI429">
        <v>1</v>
      </c>
      <c r="BJ429">
        <v>1</v>
      </c>
      <c r="BK429">
        <v>1</v>
      </c>
      <c r="BL429">
        <v>0</v>
      </c>
      <c r="BO429">
        <v>0</v>
      </c>
      <c r="BP429">
        <v>0</v>
      </c>
      <c r="BW429" t="str">
        <f>"13:54:03.451"</f>
        <v>13:54:03.451</v>
      </c>
      <c r="CJ429">
        <v>0</v>
      </c>
      <c r="CK429">
        <v>2</v>
      </c>
      <c r="CL429">
        <v>0</v>
      </c>
      <c r="CM429">
        <v>2</v>
      </c>
      <c r="CN429">
        <v>0</v>
      </c>
      <c r="CO429">
        <v>6</v>
      </c>
      <c r="CP429" t="s">
        <v>119</v>
      </c>
      <c r="CQ429">
        <v>209</v>
      </c>
      <c r="CR429">
        <v>3</v>
      </c>
      <c r="CW429">
        <v>7177348</v>
      </c>
      <c r="CY429">
        <v>1</v>
      </c>
      <c r="CZ429">
        <v>0</v>
      </c>
      <c r="DA429">
        <v>0</v>
      </c>
      <c r="DB429">
        <v>0</v>
      </c>
      <c r="DC429">
        <v>0</v>
      </c>
      <c r="DD429">
        <v>0</v>
      </c>
      <c r="DE429">
        <v>0</v>
      </c>
      <c r="DF429">
        <v>0</v>
      </c>
      <c r="DG429">
        <v>0</v>
      </c>
      <c r="DH429">
        <v>0</v>
      </c>
      <c r="DI429">
        <v>0</v>
      </c>
    </row>
    <row r="430" spans="1:113" x14ac:dyDescent="0.3">
      <c r="A430" t="str">
        <f>"09/28/2021 13:54:03.651"</f>
        <v>09/28/2021 13:54:03.651</v>
      </c>
      <c r="C430" t="str">
        <f t="shared" si="23"/>
        <v>FFDFD3C0</v>
      </c>
      <c r="D430" t="s">
        <v>113</v>
      </c>
      <c r="E430">
        <v>7</v>
      </c>
      <c r="H430">
        <v>170</v>
      </c>
      <c r="I430" t="s">
        <v>114</v>
      </c>
      <c r="J430" t="s">
        <v>115</v>
      </c>
      <c r="K430">
        <v>0</v>
      </c>
      <c r="L430">
        <v>3</v>
      </c>
      <c r="M430">
        <v>0</v>
      </c>
      <c r="N430">
        <v>2</v>
      </c>
      <c r="O430">
        <v>1</v>
      </c>
      <c r="P430">
        <v>0</v>
      </c>
      <c r="Q430">
        <v>0</v>
      </c>
      <c r="S430" t="str">
        <f>"13:54:03.445"</f>
        <v>13:54:03.445</v>
      </c>
      <c r="T430" t="str">
        <f>"13:54:03.045"</f>
        <v>13:54:03.045</v>
      </c>
      <c r="U430" t="str">
        <f t="shared" si="22"/>
        <v>A92BC1</v>
      </c>
      <c r="V430">
        <v>0</v>
      </c>
      <c r="W430">
        <v>0</v>
      </c>
      <c r="X430">
        <v>2</v>
      </c>
      <c r="Z430">
        <v>0</v>
      </c>
      <c r="AA430">
        <v>9</v>
      </c>
      <c r="AB430">
        <v>3</v>
      </c>
      <c r="AC430">
        <v>0</v>
      </c>
      <c r="AD430">
        <v>10</v>
      </c>
      <c r="AE430">
        <v>0</v>
      </c>
      <c r="AF430">
        <v>3</v>
      </c>
      <c r="AG430">
        <v>2</v>
      </c>
      <c r="AH430">
        <v>0</v>
      </c>
      <c r="AI430" t="s">
        <v>530</v>
      </c>
      <c r="AJ430">
        <v>45.729045999999997</v>
      </c>
      <c r="AK430" t="s">
        <v>531</v>
      </c>
      <c r="AL430">
        <v>-89.381889999999999</v>
      </c>
      <c r="AM430">
        <v>100</v>
      </c>
      <c r="AN430">
        <v>8800</v>
      </c>
      <c r="AO430" t="s">
        <v>118</v>
      </c>
      <c r="AP430">
        <v>132</v>
      </c>
      <c r="AQ430">
        <v>109</v>
      </c>
      <c r="AR430">
        <v>1984</v>
      </c>
      <c r="AZ430">
        <v>1200</v>
      </c>
      <c r="BA430">
        <v>1</v>
      </c>
      <c r="BB430" t="str">
        <f t="shared" si="24"/>
        <v xml:space="preserve">N690LS  </v>
      </c>
      <c r="BC430">
        <v>1</v>
      </c>
      <c r="BE430">
        <v>0</v>
      </c>
      <c r="BF430">
        <v>0</v>
      </c>
      <c r="BG430">
        <v>0</v>
      </c>
      <c r="BH430">
        <v>9025</v>
      </c>
      <c r="BI430">
        <v>1</v>
      </c>
      <c r="BJ430">
        <v>1</v>
      </c>
      <c r="BK430">
        <v>1</v>
      </c>
      <c r="BL430">
        <v>0</v>
      </c>
      <c r="BO430">
        <v>0</v>
      </c>
      <c r="BP430">
        <v>0</v>
      </c>
      <c r="BW430" t="str">
        <f>"13:54:03.451"</f>
        <v>13:54:03.451</v>
      </c>
      <c r="CJ430">
        <v>0</v>
      </c>
      <c r="CK430">
        <v>2</v>
      </c>
      <c r="CL430">
        <v>0</v>
      </c>
      <c r="CM430">
        <v>2</v>
      </c>
      <c r="CN430">
        <v>0</v>
      </c>
      <c r="CO430">
        <v>6</v>
      </c>
      <c r="CP430" t="s">
        <v>119</v>
      </c>
      <c r="CQ430">
        <v>209</v>
      </c>
      <c r="CR430">
        <v>3</v>
      </c>
      <c r="CW430">
        <v>7177348</v>
      </c>
      <c r="CY430">
        <v>1</v>
      </c>
      <c r="CZ430">
        <v>0</v>
      </c>
      <c r="DA430">
        <v>1</v>
      </c>
      <c r="DB430">
        <v>0</v>
      </c>
      <c r="DC430">
        <v>0</v>
      </c>
      <c r="DD430">
        <v>0</v>
      </c>
      <c r="DE430">
        <v>0</v>
      </c>
      <c r="DF430">
        <v>0</v>
      </c>
      <c r="DG430">
        <v>0</v>
      </c>
      <c r="DH430">
        <v>0</v>
      </c>
      <c r="DI430">
        <v>0</v>
      </c>
    </row>
    <row r="431" spans="1:113" x14ac:dyDescent="0.3">
      <c r="A431" t="str">
        <f>"09/28/2021 13:54:04.448"</f>
        <v>09/28/2021 13:54:04.448</v>
      </c>
      <c r="C431" t="str">
        <f t="shared" si="23"/>
        <v>FFDFD3C0</v>
      </c>
      <c r="D431" t="s">
        <v>120</v>
      </c>
      <c r="E431">
        <v>12</v>
      </c>
      <c r="F431">
        <v>1012</v>
      </c>
      <c r="G431" t="s">
        <v>114</v>
      </c>
      <c r="J431" t="s">
        <v>121</v>
      </c>
      <c r="K431">
        <v>0</v>
      </c>
      <c r="L431">
        <v>3</v>
      </c>
      <c r="M431">
        <v>0</v>
      </c>
      <c r="N431">
        <v>2</v>
      </c>
      <c r="O431">
        <v>1</v>
      </c>
      <c r="P431">
        <v>0</v>
      </c>
      <c r="Q431">
        <v>0</v>
      </c>
      <c r="S431" t="str">
        <f>"13:54:04.258"</f>
        <v>13:54:04.258</v>
      </c>
      <c r="T431" t="str">
        <f>"13:54:03.858"</f>
        <v>13:54:03.858</v>
      </c>
      <c r="U431" t="str">
        <f t="shared" si="22"/>
        <v>A92BC1</v>
      </c>
      <c r="V431">
        <v>0</v>
      </c>
      <c r="W431">
        <v>0</v>
      </c>
      <c r="X431">
        <v>2</v>
      </c>
      <c r="Z431">
        <v>0</v>
      </c>
      <c r="AA431">
        <v>9</v>
      </c>
      <c r="AB431">
        <v>3</v>
      </c>
      <c r="AC431">
        <v>0</v>
      </c>
      <c r="AD431">
        <v>10</v>
      </c>
      <c r="AE431">
        <v>0</v>
      </c>
      <c r="AF431">
        <v>3</v>
      </c>
      <c r="AG431">
        <v>2</v>
      </c>
      <c r="AH431">
        <v>0</v>
      </c>
      <c r="AI431" t="s">
        <v>532</v>
      </c>
      <c r="AJ431">
        <v>45.729475000000001</v>
      </c>
      <c r="AK431" t="s">
        <v>533</v>
      </c>
      <c r="AL431">
        <v>-89.381203999999997</v>
      </c>
      <c r="AM431">
        <v>100</v>
      </c>
      <c r="AN431">
        <v>8800</v>
      </c>
      <c r="AO431" t="s">
        <v>118</v>
      </c>
      <c r="AP431">
        <v>131</v>
      </c>
      <c r="AQ431">
        <v>109</v>
      </c>
      <c r="AR431">
        <v>1984</v>
      </c>
      <c r="AZ431">
        <v>1200</v>
      </c>
      <c r="BA431">
        <v>1</v>
      </c>
      <c r="BB431" t="str">
        <f t="shared" si="24"/>
        <v xml:space="preserve">N690LS  </v>
      </c>
      <c r="BC431">
        <v>1</v>
      </c>
      <c r="BE431">
        <v>0</v>
      </c>
      <c r="BF431">
        <v>0</v>
      </c>
      <c r="BG431">
        <v>0</v>
      </c>
      <c r="BH431">
        <v>9075</v>
      </c>
      <c r="BI431">
        <v>1</v>
      </c>
      <c r="BJ431">
        <v>1</v>
      </c>
      <c r="BK431">
        <v>1</v>
      </c>
      <c r="BL431">
        <v>0</v>
      </c>
      <c r="BO431">
        <v>0</v>
      </c>
      <c r="BP431">
        <v>0</v>
      </c>
      <c r="BW431" t="str">
        <f>"13:54:04.262"</f>
        <v>13:54:04.262</v>
      </c>
      <c r="CJ431">
        <v>0</v>
      </c>
      <c r="CK431">
        <v>2</v>
      </c>
      <c r="CL431">
        <v>0</v>
      </c>
      <c r="CM431">
        <v>2</v>
      </c>
      <c r="CN431">
        <v>0</v>
      </c>
      <c r="CO431">
        <v>6</v>
      </c>
      <c r="CP431" t="s">
        <v>119</v>
      </c>
      <c r="CQ431">
        <v>209</v>
      </c>
      <c r="CR431">
        <v>3</v>
      </c>
      <c r="CW431">
        <v>7177590</v>
      </c>
      <c r="CY431">
        <v>1</v>
      </c>
      <c r="CZ431">
        <v>0</v>
      </c>
      <c r="DA431">
        <v>0</v>
      </c>
      <c r="DB431">
        <v>0</v>
      </c>
      <c r="DC431">
        <v>0</v>
      </c>
      <c r="DD431">
        <v>0</v>
      </c>
      <c r="DE431">
        <v>0</v>
      </c>
      <c r="DF431">
        <v>0</v>
      </c>
      <c r="DG431">
        <v>0</v>
      </c>
      <c r="DH431">
        <v>0</v>
      </c>
      <c r="DI431">
        <v>0</v>
      </c>
    </row>
    <row r="432" spans="1:113" x14ac:dyDescent="0.3">
      <c r="A432" t="str">
        <f>"09/28/2021 13:54:04.464"</f>
        <v>09/28/2021 13:54:04.464</v>
      </c>
      <c r="C432" t="str">
        <f t="shared" si="23"/>
        <v>FFDFD3C0</v>
      </c>
      <c r="D432" t="s">
        <v>113</v>
      </c>
      <c r="E432">
        <v>7</v>
      </c>
      <c r="H432">
        <v>170</v>
      </c>
      <c r="I432" t="s">
        <v>114</v>
      </c>
      <c r="J432" t="s">
        <v>115</v>
      </c>
      <c r="K432">
        <v>0</v>
      </c>
      <c r="L432">
        <v>3</v>
      </c>
      <c r="M432">
        <v>0</v>
      </c>
      <c r="N432">
        <v>2</v>
      </c>
      <c r="O432">
        <v>1</v>
      </c>
      <c r="P432">
        <v>0</v>
      </c>
      <c r="Q432">
        <v>0</v>
      </c>
      <c r="S432" t="str">
        <f>"13:54:04.258"</f>
        <v>13:54:04.258</v>
      </c>
      <c r="T432" t="str">
        <f>"13:54:03.858"</f>
        <v>13:54:03.858</v>
      </c>
      <c r="U432" t="str">
        <f t="shared" si="22"/>
        <v>A92BC1</v>
      </c>
      <c r="V432">
        <v>0</v>
      </c>
      <c r="W432">
        <v>0</v>
      </c>
      <c r="X432">
        <v>2</v>
      </c>
      <c r="Z432">
        <v>0</v>
      </c>
      <c r="AA432">
        <v>9</v>
      </c>
      <c r="AB432">
        <v>3</v>
      </c>
      <c r="AC432">
        <v>0</v>
      </c>
      <c r="AD432">
        <v>10</v>
      </c>
      <c r="AE432">
        <v>0</v>
      </c>
      <c r="AF432">
        <v>3</v>
      </c>
      <c r="AG432">
        <v>2</v>
      </c>
      <c r="AH432">
        <v>0</v>
      </c>
      <c r="AI432" t="s">
        <v>532</v>
      </c>
      <c r="AJ432">
        <v>45.729475000000001</v>
      </c>
      <c r="AK432" t="s">
        <v>533</v>
      </c>
      <c r="AL432">
        <v>-89.381203999999997</v>
      </c>
      <c r="AM432">
        <v>100</v>
      </c>
      <c r="AN432">
        <v>8800</v>
      </c>
      <c r="AO432" t="s">
        <v>118</v>
      </c>
      <c r="AP432">
        <v>131</v>
      </c>
      <c r="AQ432">
        <v>109</v>
      </c>
      <c r="AR432">
        <v>1984</v>
      </c>
      <c r="AZ432">
        <v>1200</v>
      </c>
      <c r="BA432">
        <v>1</v>
      </c>
      <c r="BB432" t="str">
        <f t="shared" si="24"/>
        <v xml:space="preserve">N690LS  </v>
      </c>
      <c r="BC432">
        <v>1</v>
      </c>
      <c r="BE432">
        <v>0</v>
      </c>
      <c r="BF432">
        <v>0</v>
      </c>
      <c r="BG432">
        <v>0</v>
      </c>
      <c r="BH432">
        <v>9075</v>
      </c>
      <c r="BI432">
        <v>1</v>
      </c>
      <c r="BJ432">
        <v>1</v>
      </c>
      <c r="BK432">
        <v>1</v>
      </c>
      <c r="BL432">
        <v>0</v>
      </c>
      <c r="BO432">
        <v>0</v>
      </c>
      <c r="BP432">
        <v>0</v>
      </c>
      <c r="BW432" t="str">
        <f>"13:54:04.262"</f>
        <v>13:54:04.262</v>
      </c>
      <c r="CJ432">
        <v>0</v>
      </c>
      <c r="CK432">
        <v>2</v>
      </c>
      <c r="CL432">
        <v>0</v>
      </c>
      <c r="CM432">
        <v>2</v>
      </c>
      <c r="CN432">
        <v>0</v>
      </c>
      <c r="CO432">
        <v>6</v>
      </c>
      <c r="CP432" t="s">
        <v>119</v>
      </c>
      <c r="CQ432">
        <v>209</v>
      </c>
      <c r="CR432">
        <v>3</v>
      </c>
      <c r="CW432">
        <v>7177590</v>
      </c>
      <c r="CY432">
        <v>1</v>
      </c>
      <c r="CZ432">
        <v>0</v>
      </c>
      <c r="DA432">
        <v>1</v>
      </c>
      <c r="DB432">
        <v>0</v>
      </c>
      <c r="DC432">
        <v>0</v>
      </c>
      <c r="DD432">
        <v>0</v>
      </c>
      <c r="DE432">
        <v>0</v>
      </c>
      <c r="DF432">
        <v>0</v>
      </c>
      <c r="DG432">
        <v>0</v>
      </c>
      <c r="DH432">
        <v>0</v>
      </c>
      <c r="DI432">
        <v>0</v>
      </c>
    </row>
    <row r="433" spans="1:113" x14ac:dyDescent="0.3">
      <c r="A433" t="str">
        <f>"09/28/2021 13:54:05.526"</f>
        <v>09/28/2021 13:54:05.526</v>
      </c>
      <c r="C433" t="str">
        <f t="shared" si="23"/>
        <v>FFDFD3C0</v>
      </c>
      <c r="D433" t="s">
        <v>113</v>
      </c>
      <c r="E433">
        <v>7</v>
      </c>
      <c r="H433">
        <v>170</v>
      </c>
      <c r="I433" t="s">
        <v>114</v>
      </c>
      <c r="J433" t="s">
        <v>115</v>
      </c>
      <c r="K433">
        <v>0</v>
      </c>
      <c r="L433">
        <v>3</v>
      </c>
      <c r="M433">
        <v>0</v>
      </c>
      <c r="N433">
        <v>2</v>
      </c>
      <c r="O433">
        <v>1</v>
      </c>
      <c r="P433">
        <v>0</v>
      </c>
      <c r="Q433">
        <v>0</v>
      </c>
      <c r="S433" t="str">
        <f>"13:54:05.328"</f>
        <v>13:54:05.328</v>
      </c>
      <c r="T433" t="str">
        <f>"13:54:04.828"</f>
        <v>13:54:04.828</v>
      </c>
      <c r="U433" t="str">
        <f t="shared" si="22"/>
        <v>A92BC1</v>
      </c>
      <c r="V433">
        <v>0</v>
      </c>
      <c r="W433">
        <v>0</v>
      </c>
      <c r="X433">
        <v>2</v>
      </c>
      <c r="Z433">
        <v>0</v>
      </c>
      <c r="AA433">
        <v>9</v>
      </c>
      <c r="AB433">
        <v>3</v>
      </c>
      <c r="AC433">
        <v>0</v>
      </c>
      <c r="AD433">
        <v>10</v>
      </c>
      <c r="AE433">
        <v>0</v>
      </c>
      <c r="AF433">
        <v>3</v>
      </c>
      <c r="AG433">
        <v>2</v>
      </c>
      <c r="AH433">
        <v>0</v>
      </c>
      <c r="AI433" t="s">
        <v>534</v>
      </c>
      <c r="AJ433">
        <v>45.730032999999999</v>
      </c>
      <c r="AK433" t="s">
        <v>535</v>
      </c>
      <c r="AL433">
        <v>-89.380217000000002</v>
      </c>
      <c r="AM433">
        <v>100</v>
      </c>
      <c r="AN433">
        <v>8900</v>
      </c>
      <c r="AO433" t="s">
        <v>118</v>
      </c>
      <c r="AP433">
        <v>131</v>
      </c>
      <c r="AQ433">
        <v>109</v>
      </c>
      <c r="AR433">
        <v>1984</v>
      </c>
      <c r="AZ433">
        <v>1200</v>
      </c>
      <c r="BA433">
        <v>1</v>
      </c>
      <c r="BB433" t="str">
        <f t="shared" si="24"/>
        <v xml:space="preserve">N690LS  </v>
      </c>
      <c r="BC433">
        <v>1</v>
      </c>
      <c r="BE433">
        <v>0</v>
      </c>
      <c r="BF433">
        <v>0</v>
      </c>
      <c r="BG433">
        <v>0</v>
      </c>
      <c r="BH433">
        <v>9100</v>
      </c>
      <c r="BI433">
        <v>1</v>
      </c>
      <c r="BJ433">
        <v>1</v>
      </c>
      <c r="BK433">
        <v>1</v>
      </c>
      <c r="BL433">
        <v>0</v>
      </c>
      <c r="BO433">
        <v>0</v>
      </c>
      <c r="BP433">
        <v>0</v>
      </c>
      <c r="BW433" t="str">
        <f>"13:54:05.333"</f>
        <v>13:54:05.333</v>
      </c>
      <c r="CJ433">
        <v>0</v>
      </c>
      <c r="CK433">
        <v>2</v>
      </c>
      <c r="CL433">
        <v>0</v>
      </c>
      <c r="CM433">
        <v>2</v>
      </c>
      <c r="CN433">
        <v>0</v>
      </c>
      <c r="CO433">
        <v>6</v>
      </c>
      <c r="CP433" t="s">
        <v>119</v>
      </c>
      <c r="CQ433">
        <v>209</v>
      </c>
      <c r="CR433">
        <v>3</v>
      </c>
      <c r="CW433">
        <v>7177876</v>
      </c>
      <c r="CY433">
        <v>1</v>
      </c>
      <c r="CZ433">
        <v>0</v>
      </c>
      <c r="DA433">
        <v>0</v>
      </c>
      <c r="DB433">
        <v>0</v>
      </c>
      <c r="DC433">
        <v>0</v>
      </c>
      <c r="DD433">
        <v>0</v>
      </c>
      <c r="DE433">
        <v>0</v>
      </c>
      <c r="DF433">
        <v>0</v>
      </c>
      <c r="DG433">
        <v>0</v>
      </c>
      <c r="DH433">
        <v>0</v>
      </c>
      <c r="DI433">
        <v>0</v>
      </c>
    </row>
    <row r="434" spans="1:113" x14ac:dyDescent="0.3">
      <c r="A434" t="str">
        <f>"09/28/2021 13:54:05.573"</f>
        <v>09/28/2021 13:54:05.573</v>
      </c>
      <c r="C434" t="str">
        <f t="shared" si="23"/>
        <v>FFDFD3C0</v>
      </c>
      <c r="D434" t="s">
        <v>120</v>
      </c>
      <c r="E434">
        <v>12</v>
      </c>
      <c r="F434">
        <v>1012</v>
      </c>
      <c r="G434" t="s">
        <v>114</v>
      </c>
      <c r="J434" t="s">
        <v>121</v>
      </c>
      <c r="K434">
        <v>0</v>
      </c>
      <c r="L434">
        <v>3</v>
      </c>
      <c r="M434">
        <v>0</v>
      </c>
      <c r="N434">
        <v>2</v>
      </c>
      <c r="O434">
        <v>1</v>
      </c>
      <c r="P434">
        <v>0</v>
      </c>
      <c r="Q434">
        <v>0</v>
      </c>
      <c r="S434" t="str">
        <f>"13:54:05.328"</f>
        <v>13:54:05.328</v>
      </c>
      <c r="T434" t="str">
        <f>"13:54:04.828"</f>
        <v>13:54:04.828</v>
      </c>
      <c r="U434" t="str">
        <f t="shared" si="22"/>
        <v>A92BC1</v>
      </c>
      <c r="V434">
        <v>0</v>
      </c>
      <c r="W434">
        <v>0</v>
      </c>
      <c r="X434">
        <v>2</v>
      </c>
      <c r="Z434">
        <v>0</v>
      </c>
      <c r="AA434">
        <v>9</v>
      </c>
      <c r="AB434">
        <v>3</v>
      </c>
      <c r="AC434">
        <v>0</v>
      </c>
      <c r="AD434">
        <v>10</v>
      </c>
      <c r="AE434">
        <v>0</v>
      </c>
      <c r="AF434">
        <v>3</v>
      </c>
      <c r="AG434">
        <v>2</v>
      </c>
      <c r="AH434">
        <v>0</v>
      </c>
      <c r="AI434" t="s">
        <v>534</v>
      </c>
      <c r="AJ434">
        <v>45.730032999999999</v>
      </c>
      <c r="AK434" t="s">
        <v>535</v>
      </c>
      <c r="AL434">
        <v>-89.380217000000002</v>
      </c>
      <c r="AM434">
        <v>100</v>
      </c>
      <c r="AN434">
        <v>8900</v>
      </c>
      <c r="AO434" t="s">
        <v>118</v>
      </c>
      <c r="AP434">
        <v>131</v>
      </c>
      <c r="AQ434">
        <v>109</v>
      </c>
      <c r="AR434">
        <v>1984</v>
      </c>
      <c r="AZ434">
        <v>1200</v>
      </c>
      <c r="BA434">
        <v>1</v>
      </c>
      <c r="BB434" t="str">
        <f t="shared" si="24"/>
        <v xml:space="preserve">N690LS  </v>
      </c>
      <c r="BC434">
        <v>1</v>
      </c>
      <c r="BE434">
        <v>0</v>
      </c>
      <c r="BF434">
        <v>0</v>
      </c>
      <c r="BG434">
        <v>0</v>
      </c>
      <c r="BH434">
        <v>9100</v>
      </c>
      <c r="BI434">
        <v>1</v>
      </c>
      <c r="BJ434">
        <v>1</v>
      </c>
      <c r="BK434">
        <v>1</v>
      </c>
      <c r="BL434">
        <v>0</v>
      </c>
      <c r="BO434">
        <v>0</v>
      </c>
      <c r="BP434">
        <v>0</v>
      </c>
      <c r="BW434" t="str">
        <f>"13:54:05.333"</f>
        <v>13:54:05.333</v>
      </c>
      <c r="CJ434">
        <v>0</v>
      </c>
      <c r="CK434">
        <v>2</v>
      </c>
      <c r="CL434">
        <v>0</v>
      </c>
      <c r="CM434">
        <v>2</v>
      </c>
      <c r="CN434">
        <v>0</v>
      </c>
      <c r="CO434">
        <v>6</v>
      </c>
      <c r="CP434" t="s">
        <v>119</v>
      </c>
      <c r="CQ434">
        <v>209</v>
      </c>
      <c r="CR434">
        <v>3</v>
      </c>
      <c r="CW434">
        <v>7177876</v>
      </c>
      <c r="CY434">
        <v>1</v>
      </c>
      <c r="CZ434">
        <v>0</v>
      </c>
      <c r="DA434">
        <v>1</v>
      </c>
      <c r="DB434">
        <v>0</v>
      </c>
      <c r="DC434">
        <v>0</v>
      </c>
      <c r="DD434">
        <v>0</v>
      </c>
      <c r="DE434">
        <v>0</v>
      </c>
      <c r="DF434">
        <v>0</v>
      </c>
      <c r="DG434">
        <v>0</v>
      </c>
      <c r="DH434">
        <v>0</v>
      </c>
      <c r="DI434">
        <v>0</v>
      </c>
    </row>
    <row r="435" spans="1:113" x14ac:dyDescent="0.3">
      <c r="A435" t="str">
        <f>"09/28/2021 13:54:06.572"</f>
        <v>09/28/2021 13:54:06.572</v>
      </c>
      <c r="C435" t="str">
        <f t="shared" si="23"/>
        <v>FFDFD3C0</v>
      </c>
      <c r="D435" t="s">
        <v>120</v>
      </c>
      <c r="E435">
        <v>12</v>
      </c>
      <c r="F435">
        <v>1012</v>
      </c>
      <c r="G435" t="s">
        <v>114</v>
      </c>
      <c r="J435" t="s">
        <v>121</v>
      </c>
      <c r="K435">
        <v>0</v>
      </c>
      <c r="L435">
        <v>3</v>
      </c>
      <c r="M435">
        <v>0</v>
      </c>
      <c r="N435">
        <v>2</v>
      </c>
      <c r="O435">
        <v>1</v>
      </c>
      <c r="P435">
        <v>0</v>
      </c>
      <c r="Q435">
        <v>0</v>
      </c>
      <c r="S435" t="str">
        <f>"13:54:06.336"</f>
        <v>13:54:06.336</v>
      </c>
      <c r="T435" t="str">
        <f>"13:54:05.836"</f>
        <v>13:54:05.836</v>
      </c>
      <c r="U435" t="str">
        <f t="shared" si="22"/>
        <v>A92BC1</v>
      </c>
      <c r="V435">
        <v>0</v>
      </c>
      <c r="W435">
        <v>0</v>
      </c>
      <c r="X435">
        <v>2</v>
      </c>
      <c r="Z435">
        <v>0</v>
      </c>
      <c r="AA435">
        <v>9</v>
      </c>
      <c r="AB435">
        <v>3</v>
      </c>
      <c r="AC435">
        <v>0</v>
      </c>
      <c r="AD435">
        <v>10</v>
      </c>
      <c r="AE435">
        <v>0</v>
      </c>
      <c r="AF435">
        <v>3</v>
      </c>
      <c r="AG435">
        <v>2</v>
      </c>
      <c r="AH435">
        <v>0</v>
      </c>
      <c r="AI435" t="s">
        <v>536</v>
      </c>
      <c r="AJ435">
        <v>45.730547999999999</v>
      </c>
      <c r="AK435" t="s">
        <v>537</v>
      </c>
      <c r="AL435">
        <v>-89.379337000000007</v>
      </c>
      <c r="AM435">
        <v>100</v>
      </c>
      <c r="AN435">
        <v>8900</v>
      </c>
      <c r="AO435" t="s">
        <v>118</v>
      </c>
      <c r="AP435">
        <v>131</v>
      </c>
      <c r="AQ435">
        <v>109</v>
      </c>
      <c r="AR435">
        <v>1984</v>
      </c>
      <c r="AZ435">
        <v>1200</v>
      </c>
      <c r="BA435">
        <v>1</v>
      </c>
      <c r="BB435" t="str">
        <f t="shared" si="24"/>
        <v xml:space="preserve">N690LS  </v>
      </c>
      <c r="BC435">
        <v>1</v>
      </c>
      <c r="BE435">
        <v>0</v>
      </c>
      <c r="BF435">
        <v>0</v>
      </c>
      <c r="BG435">
        <v>0</v>
      </c>
      <c r="BH435">
        <v>9125</v>
      </c>
      <c r="BI435">
        <v>1</v>
      </c>
      <c r="BJ435">
        <v>1</v>
      </c>
      <c r="BK435">
        <v>1</v>
      </c>
      <c r="BL435">
        <v>0</v>
      </c>
      <c r="BO435">
        <v>0</v>
      </c>
      <c r="BP435">
        <v>0</v>
      </c>
      <c r="BW435" t="str">
        <f>"13:54:06.339"</f>
        <v>13:54:06.339</v>
      </c>
      <c r="CJ435">
        <v>0</v>
      </c>
      <c r="CK435">
        <v>2</v>
      </c>
      <c r="CL435">
        <v>0</v>
      </c>
      <c r="CM435">
        <v>2</v>
      </c>
      <c r="CN435">
        <v>0</v>
      </c>
      <c r="CO435">
        <v>6</v>
      </c>
      <c r="CP435" t="s">
        <v>119</v>
      </c>
      <c r="CQ435">
        <v>209</v>
      </c>
      <c r="CR435">
        <v>3</v>
      </c>
      <c r="CW435">
        <v>7178135</v>
      </c>
      <c r="CY435">
        <v>1</v>
      </c>
      <c r="CZ435">
        <v>0</v>
      </c>
      <c r="DA435">
        <v>0</v>
      </c>
      <c r="DB435">
        <v>0</v>
      </c>
      <c r="DC435">
        <v>0</v>
      </c>
      <c r="DD435">
        <v>0</v>
      </c>
      <c r="DE435">
        <v>0</v>
      </c>
      <c r="DF435">
        <v>0</v>
      </c>
      <c r="DG435">
        <v>0</v>
      </c>
      <c r="DH435">
        <v>0</v>
      </c>
      <c r="DI435">
        <v>0</v>
      </c>
    </row>
    <row r="436" spans="1:113" x14ac:dyDescent="0.3">
      <c r="A436" t="str">
        <f>"09/28/2021 13:54:06.588"</f>
        <v>09/28/2021 13:54:06.588</v>
      </c>
      <c r="C436" t="str">
        <f t="shared" si="23"/>
        <v>FFDFD3C0</v>
      </c>
      <c r="D436" t="s">
        <v>113</v>
      </c>
      <c r="E436">
        <v>7</v>
      </c>
      <c r="H436">
        <v>170</v>
      </c>
      <c r="I436" t="s">
        <v>114</v>
      </c>
      <c r="J436" t="s">
        <v>115</v>
      </c>
      <c r="K436">
        <v>0</v>
      </c>
      <c r="L436">
        <v>3</v>
      </c>
      <c r="M436">
        <v>0</v>
      </c>
      <c r="N436">
        <v>2</v>
      </c>
      <c r="O436">
        <v>1</v>
      </c>
      <c r="P436">
        <v>0</v>
      </c>
      <c r="Q436">
        <v>0</v>
      </c>
      <c r="S436" t="str">
        <f>"13:54:06.336"</f>
        <v>13:54:06.336</v>
      </c>
      <c r="T436" t="str">
        <f>"13:54:05.836"</f>
        <v>13:54:05.836</v>
      </c>
      <c r="U436" t="str">
        <f t="shared" si="22"/>
        <v>A92BC1</v>
      </c>
      <c r="V436">
        <v>0</v>
      </c>
      <c r="W436">
        <v>0</v>
      </c>
      <c r="X436">
        <v>2</v>
      </c>
      <c r="Z436">
        <v>0</v>
      </c>
      <c r="AA436">
        <v>9</v>
      </c>
      <c r="AB436">
        <v>3</v>
      </c>
      <c r="AC436">
        <v>0</v>
      </c>
      <c r="AD436">
        <v>10</v>
      </c>
      <c r="AE436">
        <v>0</v>
      </c>
      <c r="AF436">
        <v>3</v>
      </c>
      <c r="AG436">
        <v>2</v>
      </c>
      <c r="AH436">
        <v>0</v>
      </c>
      <c r="AI436" t="s">
        <v>536</v>
      </c>
      <c r="AJ436">
        <v>45.730547999999999</v>
      </c>
      <c r="AK436" t="s">
        <v>537</v>
      </c>
      <c r="AL436">
        <v>-89.379337000000007</v>
      </c>
      <c r="AM436">
        <v>100</v>
      </c>
      <c r="AN436">
        <v>8900</v>
      </c>
      <c r="AO436" t="s">
        <v>118</v>
      </c>
      <c r="AP436">
        <v>131</v>
      </c>
      <c r="AQ436">
        <v>109</v>
      </c>
      <c r="AR436">
        <v>1984</v>
      </c>
      <c r="AZ436">
        <v>1200</v>
      </c>
      <c r="BA436">
        <v>1</v>
      </c>
      <c r="BB436" t="str">
        <f t="shared" si="24"/>
        <v xml:space="preserve">N690LS  </v>
      </c>
      <c r="BC436">
        <v>1</v>
      </c>
      <c r="BE436">
        <v>0</v>
      </c>
      <c r="BF436">
        <v>0</v>
      </c>
      <c r="BG436">
        <v>0</v>
      </c>
      <c r="BH436">
        <v>9125</v>
      </c>
      <c r="BI436">
        <v>1</v>
      </c>
      <c r="BJ436">
        <v>1</v>
      </c>
      <c r="BK436">
        <v>1</v>
      </c>
      <c r="BL436">
        <v>0</v>
      </c>
      <c r="BO436">
        <v>0</v>
      </c>
      <c r="BP436">
        <v>0</v>
      </c>
      <c r="BW436" t="str">
        <f>"13:54:06.339"</f>
        <v>13:54:06.339</v>
      </c>
      <c r="CJ436">
        <v>0</v>
      </c>
      <c r="CK436">
        <v>2</v>
      </c>
      <c r="CL436">
        <v>0</v>
      </c>
      <c r="CM436">
        <v>2</v>
      </c>
      <c r="CN436">
        <v>0</v>
      </c>
      <c r="CO436">
        <v>6</v>
      </c>
      <c r="CP436" t="s">
        <v>119</v>
      </c>
      <c r="CQ436">
        <v>209</v>
      </c>
      <c r="CR436">
        <v>3</v>
      </c>
      <c r="CW436">
        <v>7178135</v>
      </c>
      <c r="CY436">
        <v>1</v>
      </c>
      <c r="CZ436">
        <v>0</v>
      </c>
      <c r="DA436">
        <v>1</v>
      </c>
      <c r="DB436">
        <v>0</v>
      </c>
      <c r="DC436">
        <v>0</v>
      </c>
      <c r="DD436">
        <v>0</v>
      </c>
      <c r="DE436">
        <v>0</v>
      </c>
      <c r="DF436">
        <v>0</v>
      </c>
      <c r="DG436">
        <v>0</v>
      </c>
      <c r="DH436">
        <v>0</v>
      </c>
      <c r="DI436">
        <v>0</v>
      </c>
    </row>
    <row r="437" spans="1:113" x14ac:dyDescent="0.3">
      <c r="A437" t="str">
        <f>"09/28/2021 13:54:07.509"</f>
        <v>09/28/2021 13:54:07.509</v>
      </c>
      <c r="C437" t="str">
        <f t="shared" si="23"/>
        <v>FFDFD3C0</v>
      </c>
      <c r="D437" t="s">
        <v>120</v>
      </c>
      <c r="E437">
        <v>12</v>
      </c>
      <c r="F437">
        <v>1012</v>
      </c>
      <c r="G437" t="s">
        <v>114</v>
      </c>
      <c r="J437" t="s">
        <v>121</v>
      </c>
      <c r="K437">
        <v>0</v>
      </c>
      <c r="L437">
        <v>3</v>
      </c>
      <c r="M437">
        <v>0</v>
      </c>
      <c r="N437">
        <v>2</v>
      </c>
      <c r="O437">
        <v>1</v>
      </c>
      <c r="P437">
        <v>0</v>
      </c>
      <c r="Q437">
        <v>0</v>
      </c>
      <c r="S437" t="str">
        <f>"13:54:07.242"</f>
        <v>13:54:07.242</v>
      </c>
      <c r="T437" t="str">
        <f>"13:54:06.842"</f>
        <v>13:54:06.842</v>
      </c>
      <c r="U437" t="str">
        <f t="shared" si="22"/>
        <v>A92BC1</v>
      </c>
      <c r="V437">
        <v>0</v>
      </c>
      <c r="W437">
        <v>0</v>
      </c>
      <c r="X437">
        <v>2</v>
      </c>
      <c r="Z437">
        <v>0</v>
      </c>
      <c r="AA437">
        <v>9</v>
      </c>
      <c r="AB437">
        <v>3</v>
      </c>
      <c r="AC437">
        <v>0</v>
      </c>
      <c r="AD437">
        <v>10</v>
      </c>
      <c r="AE437">
        <v>0</v>
      </c>
      <c r="AF437">
        <v>3</v>
      </c>
      <c r="AG437">
        <v>2</v>
      </c>
      <c r="AH437">
        <v>0</v>
      </c>
      <c r="AI437" t="s">
        <v>538</v>
      </c>
      <c r="AJ437">
        <v>45.731020000000001</v>
      </c>
      <c r="AK437" t="s">
        <v>539</v>
      </c>
      <c r="AL437">
        <v>-89.378585999999999</v>
      </c>
      <c r="AM437">
        <v>100</v>
      </c>
      <c r="AN437">
        <v>8900</v>
      </c>
      <c r="AO437" t="s">
        <v>118</v>
      </c>
      <c r="AP437">
        <v>131</v>
      </c>
      <c r="AQ437">
        <v>110</v>
      </c>
      <c r="AR437">
        <v>1984</v>
      </c>
      <c r="AZ437">
        <v>1200</v>
      </c>
      <c r="BA437">
        <v>1</v>
      </c>
      <c r="BB437" t="str">
        <f t="shared" si="24"/>
        <v xml:space="preserve">N690LS  </v>
      </c>
      <c r="BC437">
        <v>1</v>
      </c>
      <c r="BE437">
        <v>0</v>
      </c>
      <c r="BF437">
        <v>0</v>
      </c>
      <c r="BG437">
        <v>0</v>
      </c>
      <c r="BH437">
        <v>9150</v>
      </c>
      <c r="BI437">
        <v>1</v>
      </c>
      <c r="BJ437">
        <v>1</v>
      </c>
      <c r="BK437">
        <v>1</v>
      </c>
      <c r="BL437">
        <v>0</v>
      </c>
      <c r="BO437">
        <v>0</v>
      </c>
      <c r="BP437">
        <v>0</v>
      </c>
      <c r="BW437" t="str">
        <f>"13:54:07.242"</f>
        <v>13:54:07.242</v>
      </c>
      <c r="CJ437">
        <v>0</v>
      </c>
      <c r="CK437">
        <v>2</v>
      </c>
      <c r="CL437">
        <v>0</v>
      </c>
      <c r="CM437">
        <v>2</v>
      </c>
      <c r="CN437">
        <v>0</v>
      </c>
      <c r="CO437">
        <v>6</v>
      </c>
      <c r="CP437" t="s">
        <v>119</v>
      </c>
      <c r="CQ437">
        <v>209</v>
      </c>
      <c r="CR437">
        <v>3</v>
      </c>
      <c r="CW437">
        <v>7178366</v>
      </c>
      <c r="CY437">
        <v>1</v>
      </c>
      <c r="CZ437">
        <v>0</v>
      </c>
      <c r="DA437">
        <v>0</v>
      </c>
      <c r="DB437">
        <v>0</v>
      </c>
      <c r="DC437">
        <v>0</v>
      </c>
      <c r="DD437">
        <v>0</v>
      </c>
      <c r="DE437">
        <v>0</v>
      </c>
      <c r="DF437">
        <v>0</v>
      </c>
      <c r="DG437">
        <v>0</v>
      </c>
      <c r="DH437">
        <v>0</v>
      </c>
      <c r="DI437">
        <v>0</v>
      </c>
    </row>
    <row r="438" spans="1:113" x14ac:dyDescent="0.3">
      <c r="A438" t="str">
        <f>"09/28/2021 13:54:07.509"</f>
        <v>09/28/2021 13:54:07.509</v>
      </c>
      <c r="C438" t="str">
        <f t="shared" si="23"/>
        <v>FFDFD3C0</v>
      </c>
      <c r="D438" t="s">
        <v>113</v>
      </c>
      <c r="E438">
        <v>7</v>
      </c>
      <c r="H438">
        <v>170</v>
      </c>
      <c r="I438" t="s">
        <v>114</v>
      </c>
      <c r="J438" t="s">
        <v>115</v>
      </c>
      <c r="K438">
        <v>0</v>
      </c>
      <c r="L438">
        <v>3</v>
      </c>
      <c r="M438">
        <v>0</v>
      </c>
      <c r="N438">
        <v>2</v>
      </c>
      <c r="O438">
        <v>1</v>
      </c>
      <c r="P438">
        <v>0</v>
      </c>
      <c r="Q438">
        <v>0</v>
      </c>
      <c r="S438" t="str">
        <f>"13:54:07.242"</f>
        <v>13:54:07.242</v>
      </c>
      <c r="T438" t="str">
        <f>"13:54:06.842"</f>
        <v>13:54:06.842</v>
      </c>
      <c r="U438" t="str">
        <f t="shared" si="22"/>
        <v>A92BC1</v>
      </c>
      <c r="V438">
        <v>0</v>
      </c>
      <c r="W438">
        <v>0</v>
      </c>
      <c r="X438">
        <v>2</v>
      </c>
      <c r="Z438">
        <v>0</v>
      </c>
      <c r="AA438">
        <v>9</v>
      </c>
      <c r="AB438">
        <v>3</v>
      </c>
      <c r="AC438">
        <v>0</v>
      </c>
      <c r="AD438">
        <v>10</v>
      </c>
      <c r="AE438">
        <v>0</v>
      </c>
      <c r="AF438">
        <v>3</v>
      </c>
      <c r="AG438">
        <v>2</v>
      </c>
      <c r="AH438">
        <v>0</v>
      </c>
      <c r="AI438" t="s">
        <v>538</v>
      </c>
      <c r="AJ438">
        <v>45.731020000000001</v>
      </c>
      <c r="AK438" t="s">
        <v>539</v>
      </c>
      <c r="AL438">
        <v>-89.378585999999999</v>
      </c>
      <c r="AM438">
        <v>100</v>
      </c>
      <c r="AN438">
        <v>8900</v>
      </c>
      <c r="AO438" t="s">
        <v>118</v>
      </c>
      <c r="AP438">
        <v>131</v>
      </c>
      <c r="AQ438">
        <v>110</v>
      </c>
      <c r="AR438">
        <v>1984</v>
      </c>
      <c r="AZ438">
        <v>1200</v>
      </c>
      <c r="BA438">
        <v>1</v>
      </c>
      <c r="BB438" t="str">
        <f t="shared" si="24"/>
        <v xml:space="preserve">N690LS  </v>
      </c>
      <c r="BC438">
        <v>1</v>
      </c>
      <c r="BE438">
        <v>0</v>
      </c>
      <c r="BF438">
        <v>0</v>
      </c>
      <c r="BG438">
        <v>0</v>
      </c>
      <c r="BH438">
        <v>9150</v>
      </c>
      <c r="BI438">
        <v>1</v>
      </c>
      <c r="BJ438">
        <v>1</v>
      </c>
      <c r="BK438">
        <v>1</v>
      </c>
      <c r="BL438">
        <v>0</v>
      </c>
      <c r="BO438">
        <v>0</v>
      </c>
      <c r="BP438">
        <v>0</v>
      </c>
      <c r="BW438" t="str">
        <f>"13:54:07.242"</f>
        <v>13:54:07.242</v>
      </c>
      <c r="CJ438">
        <v>0</v>
      </c>
      <c r="CK438">
        <v>2</v>
      </c>
      <c r="CL438">
        <v>0</v>
      </c>
      <c r="CM438">
        <v>2</v>
      </c>
      <c r="CN438">
        <v>0</v>
      </c>
      <c r="CO438">
        <v>6</v>
      </c>
      <c r="CP438" t="s">
        <v>119</v>
      </c>
      <c r="CQ438">
        <v>209</v>
      </c>
      <c r="CR438">
        <v>3</v>
      </c>
      <c r="CW438">
        <v>7178366</v>
      </c>
      <c r="CY438">
        <v>1</v>
      </c>
      <c r="CZ438">
        <v>0</v>
      </c>
      <c r="DA438">
        <v>1</v>
      </c>
      <c r="DB438">
        <v>0</v>
      </c>
      <c r="DC438">
        <v>0</v>
      </c>
      <c r="DD438">
        <v>0</v>
      </c>
      <c r="DE438">
        <v>0</v>
      </c>
      <c r="DF438">
        <v>0</v>
      </c>
      <c r="DG438">
        <v>0</v>
      </c>
      <c r="DH438">
        <v>0</v>
      </c>
      <c r="DI438">
        <v>0</v>
      </c>
    </row>
    <row r="439" spans="1:113" x14ac:dyDescent="0.3">
      <c r="A439" t="str">
        <f>"09/28/2021 13:54:08.416"</f>
        <v>09/28/2021 13:54:08.416</v>
      </c>
      <c r="C439" t="str">
        <f t="shared" si="23"/>
        <v>FFDFD3C0</v>
      </c>
      <c r="D439" t="s">
        <v>120</v>
      </c>
      <c r="E439">
        <v>12</v>
      </c>
      <c r="F439">
        <v>1012</v>
      </c>
      <c r="G439" t="s">
        <v>114</v>
      </c>
      <c r="J439" t="s">
        <v>121</v>
      </c>
      <c r="K439">
        <v>0</v>
      </c>
      <c r="L439">
        <v>3</v>
      </c>
      <c r="M439">
        <v>0</v>
      </c>
      <c r="N439">
        <v>2</v>
      </c>
      <c r="O439">
        <v>1</v>
      </c>
      <c r="P439">
        <v>0</v>
      </c>
      <c r="Q439">
        <v>0</v>
      </c>
      <c r="S439" t="str">
        <f>"13:54:08.195"</f>
        <v>13:54:08.195</v>
      </c>
      <c r="T439" t="str">
        <f>"13:54:07.795"</f>
        <v>13:54:07.795</v>
      </c>
      <c r="U439" t="str">
        <f t="shared" si="22"/>
        <v>A92BC1</v>
      </c>
      <c r="V439">
        <v>0</v>
      </c>
      <c r="W439">
        <v>0</v>
      </c>
      <c r="X439">
        <v>2</v>
      </c>
      <c r="Z439">
        <v>0</v>
      </c>
      <c r="AA439">
        <v>9</v>
      </c>
      <c r="AB439">
        <v>3</v>
      </c>
      <c r="AC439">
        <v>0</v>
      </c>
      <c r="AD439">
        <v>10</v>
      </c>
      <c r="AE439">
        <v>0</v>
      </c>
      <c r="AF439">
        <v>3</v>
      </c>
      <c r="AG439">
        <v>2</v>
      </c>
      <c r="AH439">
        <v>0</v>
      </c>
      <c r="AI439" t="s">
        <v>540</v>
      </c>
      <c r="AJ439">
        <v>45.731470999999999</v>
      </c>
      <c r="AK439" t="s">
        <v>541</v>
      </c>
      <c r="AL439">
        <v>-89.377791999999999</v>
      </c>
      <c r="AM439">
        <v>100</v>
      </c>
      <c r="AN439">
        <v>8900</v>
      </c>
      <c r="AO439" t="s">
        <v>118</v>
      </c>
      <c r="AP439">
        <v>131</v>
      </c>
      <c r="AQ439">
        <v>110</v>
      </c>
      <c r="AR439">
        <v>1984</v>
      </c>
      <c r="AZ439">
        <v>1200</v>
      </c>
      <c r="BA439">
        <v>1</v>
      </c>
      <c r="BB439" t="str">
        <f t="shared" si="24"/>
        <v xml:space="preserve">N690LS  </v>
      </c>
      <c r="BC439">
        <v>1</v>
      </c>
      <c r="BE439">
        <v>0</v>
      </c>
      <c r="BF439">
        <v>0</v>
      </c>
      <c r="BG439">
        <v>0</v>
      </c>
      <c r="BH439">
        <v>9200</v>
      </c>
      <c r="BI439">
        <v>1</v>
      </c>
      <c r="BJ439">
        <v>1</v>
      </c>
      <c r="BK439">
        <v>1</v>
      </c>
      <c r="BL439">
        <v>0</v>
      </c>
      <c r="BO439">
        <v>0</v>
      </c>
      <c r="BP439">
        <v>0</v>
      </c>
      <c r="BW439" t="str">
        <f>"13:54:08.202"</f>
        <v>13:54:08.202</v>
      </c>
      <c r="CJ439">
        <v>0</v>
      </c>
      <c r="CK439">
        <v>2</v>
      </c>
      <c r="CL439">
        <v>0</v>
      </c>
      <c r="CM439">
        <v>2</v>
      </c>
      <c r="CN439">
        <v>0</v>
      </c>
      <c r="CO439">
        <v>6</v>
      </c>
      <c r="CP439" t="s">
        <v>119</v>
      </c>
      <c r="CQ439">
        <v>209</v>
      </c>
      <c r="CR439">
        <v>3</v>
      </c>
      <c r="CW439">
        <v>7178611</v>
      </c>
      <c r="CY439">
        <v>1</v>
      </c>
      <c r="CZ439">
        <v>0</v>
      </c>
      <c r="DA439">
        <v>0</v>
      </c>
      <c r="DB439">
        <v>0</v>
      </c>
      <c r="DC439">
        <v>0</v>
      </c>
      <c r="DD439">
        <v>0</v>
      </c>
      <c r="DE439">
        <v>0</v>
      </c>
      <c r="DF439">
        <v>0</v>
      </c>
      <c r="DG439">
        <v>0</v>
      </c>
      <c r="DH439">
        <v>0</v>
      </c>
      <c r="DI439">
        <v>0</v>
      </c>
    </row>
    <row r="440" spans="1:113" x14ac:dyDescent="0.3">
      <c r="A440" t="str">
        <f>"09/28/2021 13:54:08.416"</f>
        <v>09/28/2021 13:54:08.416</v>
      </c>
      <c r="C440" t="str">
        <f t="shared" si="23"/>
        <v>FFDFD3C0</v>
      </c>
      <c r="D440" t="s">
        <v>113</v>
      </c>
      <c r="E440">
        <v>7</v>
      </c>
      <c r="H440">
        <v>170</v>
      </c>
      <c r="I440" t="s">
        <v>114</v>
      </c>
      <c r="J440" t="s">
        <v>115</v>
      </c>
      <c r="K440">
        <v>0</v>
      </c>
      <c r="L440">
        <v>3</v>
      </c>
      <c r="M440">
        <v>0</v>
      </c>
      <c r="N440">
        <v>2</v>
      </c>
      <c r="O440">
        <v>1</v>
      </c>
      <c r="P440">
        <v>0</v>
      </c>
      <c r="Q440">
        <v>0</v>
      </c>
      <c r="S440" t="str">
        <f>"13:54:08.195"</f>
        <v>13:54:08.195</v>
      </c>
      <c r="T440" t="str">
        <f>"13:54:07.795"</f>
        <v>13:54:07.795</v>
      </c>
      <c r="U440" t="str">
        <f t="shared" si="22"/>
        <v>A92BC1</v>
      </c>
      <c r="V440">
        <v>0</v>
      </c>
      <c r="W440">
        <v>0</v>
      </c>
      <c r="X440">
        <v>2</v>
      </c>
      <c r="Z440">
        <v>0</v>
      </c>
      <c r="AA440">
        <v>9</v>
      </c>
      <c r="AB440">
        <v>3</v>
      </c>
      <c r="AC440">
        <v>0</v>
      </c>
      <c r="AD440">
        <v>10</v>
      </c>
      <c r="AE440">
        <v>0</v>
      </c>
      <c r="AF440">
        <v>3</v>
      </c>
      <c r="AG440">
        <v>2</v>
      </c>
      <c r="AH440">
        <v>0</v>
      </c>
      <c r="AI440" t="s">
        <v>540</v>
      </c>
      <c r="AJ440">
        <v>45.731470999999999</v>
      </c>
      <c r="AK440" t="s">
        <v>541</v>
      </c>
      <c r="AL440">
        <v>-89.377791999999999</v>
      </c>
      <c r="AM440">
        <v>100</v>
      </c>
      <c r="AN440">
        <v>8900</v>
      </c>
      <c r="AO440" t="s">
        <v>118</v>
      </c>
      <c r="AP440">
        <v>131</v>
      </c>
      <c r="AQ440">
        <v>110</v>
      </c>
      <c r="AR440">
        <v>1984</v>
      </c>
      <c r="AZ440">
        <v>1200</v>
      </c>
      <c r="BA440">
        <v>1</v>
      </c>
      <c r="BB440" t="str">
        <f t="shared" si="24"/>
        <v xml:space="preserve">N690LS  </v>
      </c>
      <c r="BC440">
        <v>1</v>
      </c>
      <c r="BE440">
        <v>0</v>
      </c>
      <c r="BF440">
        <v>0</v>
      </c>
      <c r="BG440">
        <v>0</v>
      </c>
      <c r="BH440">
        <v>9200</v>
      </c>
      <c r="BI440">
        <v>1</v>
      </c>
      <c r="BJ440">
        <v>1</v>
      </c>
      <c r="BK440">
        <v>1</v>
      </c>
      <c r="BL440">
        <v>0</v>
      </c>
      <c r="BO440">
        <v>0</v>
      </c>
      <c r="BP440">
        <v>0</v>
      </c>
      <c r="BW440" t="str">
        <f>"13:54:08.202"</f>
        <v>13:54:08.202</v>
      </c>
      <c r="CJ440">
        <v>0</v>
      </c>
      <c r="CK440">
        <v>2</v>
      </c>
      <c r="CL440">
        <v>0</v>
      </c>
      <c r="CM440">
        <v>2</v>
      </c>
      <c r="CN440">
        <v>0</v>
      </c>
      <c r="CO440">
        <v>6</v>
      </c>
      <c r="CP440" t="s">
        <v>119</v>
      </c>
      <c r="CQ440">
        <v>209</v>
      </c>
      <c r="CR440">
        <v>3</v>
      </c>
      <c r="CW440">
        <v>7178611</v>
      </c>
      <c r="CY440">
        <v>1</v>
      </c>
      <c r="CZ440">
        <v>0</v>
      </c>
      <c r="DA440">
        <v>1</v>
      </c>
      <c r="DB440">
        <v>0</v>
      </c>
      <c r="DC440">
        <v>0</v>
      </c>
      <c r="DD440">
        <v>0</v>
      </c>
      <c r="DE440">
        <v>0</v>
      </c>
      <c r="DF440">
        <v>0</v>
      </c>
      <c r="DG440">
        <v>0</v>
      </c>
      <c r="DH440">
        <v>0</v>
      </c>
      <c r="DI440">
        <v>0</v>
      </c>
    </row>
    <row r="441" spans="1:113" x14ac:dyDescent="0.3">
      <c r="A441" t="str">
        <f>"09/28/2021 13:54:09.479"</f>
        <v>09/28/2021 13:54:09.479</v>
      </c>
      <c r="C441" t="str">
        <f t="shared" si="23"/>
        <v>FFDFD3C0</v>
      </c>
      <c r="D441" t="s">
        <v>113</v>
      </c>
      <c r="E441">
        <v>7</v>
      </c>
      <c r="H441">
        <v>170</v>
      </c>
      <c r="I441" t="s">
        <v>114</v>
      </c>
      <c r="J441" t="s">
        <v>115</v>
      </c>
      <c r="K441">
        <v>0</v>
      </c>
      <c r="L441">
        <v>3</v>
      </c>
      <c r="M441">
        <v>0</v>
      </c>
      <c r="N441">
        <v>2</v>
      </c>
      <c r="O441">
        <v>1</v>
      </c>
      <c r="P441">
        <v>0</v>
      </c>
      <c r="Q441">
        <v>0</v>
      </c>
      <c r="S441" t="str">
        <f>"13:54:09.203"</f>
        <v>13:54:09.203</v>
      </c>
      <c r="T441" t="str">
        <f>"13:54:08.703"</f>
        <v>13:54:08.703</v>
      </c>
      <c r="U441" t="str">
        <f t="shared" si="22"/>
        <v>A92BC1</v>
      </c>
      <c r="V441">
        <v>0</v>
      </c>
      <c r="W441">
        <v>0</v>
      </c>
      <c r="X441">
        <v>2</v>
      </c>
      <c r="Z441">
        <v>0</v>
      </c>
      <c r="AA441">
        <v>9</v>
      </c>
      <c r="AB441">
        <v>3</v>
      </c>
      <c r="AC441">
        <v>0</v>
      </c>
      <c r="AD441">
        <v>10</v>
      </c>
      <c r="AE441">
        <v>0</v>
      </c>
      <c r="AF441">
        <v>3</v>
      </c>
      <c r="AG441">
        <v>2</v>
      </c>
      <c r="AH441">
        <v>0</v>
      </c>
      <c r="AI441" t="s">
        <v>542</v>
      </c>
      <c r="AJ441">
        <v>45.731963999999998</v>
      </c>
      <c r="AK441" t="s">
        <v>543</v>
      </c>
      <c r="AL441">
        <v>-89.376934000000006</v>
      </c>
      <c r="AM441">
        <v>100</v>
      </c>
      <c r="AN441">
        <v>9000</v>
      </c>
      <c r="AO441" t="s">
        <v>118</v>
      </c>
      <c r="AP441">
        <v>130</v>
      </c>
      <c r="AQ441">
        <v>110</v>
      </c>
      <c r="AR441">
        <v>1984</v>
      </c>
      <c r="AZ441">
        <v>1200</v>
      </c>
      <c r="BA441">
        <v>1</v>
      </c>
      <c r="BB441" t="str">
        <f t="shared" si="24"/>
        <v xml:space="preserve">N690LS  </v>
      </c>
      <c r="BC441">
        <v>1</v>
      </c>
      <c r="BE441">
        <v>0</v>
      </c>
      <c r="BF441">
        <v>0</v>
      </c>
      <c r="BG441">
        <v>0</v>
      </c>
      <c r="BH441">
        <v>9225</v>
      </c>
      <c r="BI441">
        <v>1</v>
      </c>
      <c r="BJ441">
        <v>1</v>
      </c>
      <c r="BK441">
        <v>1</v>
      </c>
      <c r="BL441">
        <v>0</v>
      </c>
      <c r="BO441">
        <v>0</v>
      </c>
      <c r="BP441">
        <v>0</v>
      </c>
      <c r="BW441" t="str">
        <f>"13:54:09.205"</f>
        <v>13:54:09.205</v>
      </c>
      <c r="CJ441">
        <v>0</v>
      </c>
      <c r="CK441">
        <v>2</v>
      </c>
      <c r="CL441">
        <v>0</v>
      </c>
      <c r="CM441">
        <v>2</v>
      </c>
      <c r="CN441">
        <v>0</v>
      </c>
      <c r="CO441">
        <v>6</v>
      </c>
      <c r="CP441" t="s">
        <v>119</v>
      </c>
      <c r="CQ441">
        <v>209</v>
      </c>
      <c r="CR441">
        <v>3</v>
      </c>
      <c r="CW441">
        <v>7178903</v>
      </c>
      <c r="CY441">
        <v>1</v>
      </c>
      <c r="CZ441">
        <v>0</v>
      </c>
      <c r="DA441">
        <v>0</v>
      </c>
      <c r="DB441">
        <v>0</v>
      </c>
      <c r="DC441">
        <v>0</v>
      </c>
      <c r="DD441">
        <v>0</v>
      </c>
      <c r="DE441">
        <v>0</v>
      </c>
      <c r="DF441">
        <v>0</v>
      </c>
      <c r="DG441">
        <v>0</v>
      </c>
      <c r="DH441">
        <v>0</v>
      </c>
      <c r="DI441">
        <v>0</v>
      </c>
    </row>
    <row r="442" spans="1:113" x14ac:dyDescent="0.3">
      <c r="A442" t="str">
        <f>"09/28/2021 13:54:09.495"</f>
        <v>09/28/2021 13:54:09.495</v>
      </c>
      <c r="C442" t="str">
        <f t="shared" si="23"/>
        <v>FFDFD3C0</v>
      </c>
      <c r="D442" t="s">
        <v>120</v>
      </c>
      <c r="E442">
        <v>12</v>
      </c>
      <c r="F442">
        <v>1012</v>
      </c>
      <c r="G442" t="s">
        <v>114</v>
      </c>
      <c r="J442" t="s">
        <v>121</v>
      </c>
      <c r="K442">
        <v>0</v>
      </c>
      <c r="L442">
        <v>3</v>
      </c>
      <c r="M442">
        <v>0</v>
      </c>
      <c r="N442">
        <v>2</v>
      </c>
      <c r="O442">
        <v>1</v>
      </c>
      <c r="P442">
        <v>0</v>
      </c>
      <c r="Q442">
        <v>0</v>
      </c>
      <c r="S442" t="str">
        <f>"13:54:09.203"</f>
        <v>13:54:09.203</v>
      </c>
      <c r="T442" t="str">
        <f>"13:54:08.703"</f>
        <v>13:54:08.703</v>
      </c>
      <c r="U442" t="str">
        <f t="shared" si="22"/>
        <v>A92BC1</v>
      </c>
      <c r="V442">
        <v>0</v>
      </c>
      <c r="W442">
        <v>0</v>
      </c>
      <c r="X442">
        <v>2</v>
      </c>
      <c r="Z442">
        <v>0</v>
      </c>
      <c r="AA442">
        <v>9</v>
      </c>
      <c r="AB442">
        <v>3</v>
      </c>
      <c r="AC442">
        <v>0</v>
      </c>
      <c r="AD442">
        <v>10</v>
      </c>
      <c r="AE442">
        <v>0</v>
      </c>
      <c r="AF442">
        <v>3</v>
      </c>
      <c r="AG442">
        <v>2</v>
      </c>
      <c r="AH442">
        <v>0</v>
      </c>
      <c r="AI442" t="s">
        <v>542</v>
      </c>
      <c r="AJ442">
        <v>45.731963999999998</v>
      </c>
      <c r="AK442" t="s">
        <v>543</v>
      </c>
      <c r="AL442">
        <v>-89.376934000000006</v>
      </c>
      <c r="AM442">
        <v>100</v>
      </c>
      <c r="AN442">
        <v>9000</v>
      </c>
      <c r="AO442" t="s">
        <v>118</v>
      </c>
      <c r="AP442">
        <v>130</v>
      </c>
      <c r="AQ442">
        <v>110</v>
      </c>
      <c r="AR442">
        <v>1984</v>
      </c>
      <c r="AZ442">
        <v>1200</v>
      </c>
      <c r="BA442">
        <v>1</v>
      </c>
      <c r="BB442" t="str">
        <f t="shared" si="24"/>
        <v xml:space="preserve">N690LS  </v>
      </c>
      <c r="BC442">
        <v>1</v>
      </c>
      <c r="BE442">
        <v>0</v>
      </c>
      <c r="BF442">
        <v>0</v>
      </c>
      <c r="BG442">
        <v>0</v>
      </c>
      <c r="BH442">
        <v>9225</v>
      </c>
      <c r="BI442">
        <v>1</v>
      </c>
      <c r="BJ442">
        <v>1</v>
      </c>
      <c r="BK442">
        <v>1</v>
      </c>
      <c r="BL442">
        <v>0</v>
      </c>
      <c r="BO442">
        <v>0</v>
      </c>
      <c r="BP442">
        <v>0</v>
      </c>
      <c r="BW442" t="str">
        <f>"13:54:09.205"</f>
        <v>13:54:09.205</v>
      </c>
      <c r="CJ442">
        <v>0</v>
      </c>
      <c r="CK442">
        <v>2</v>
      </c>
      <c r="CL442">
        <v>0</v>
      </c>
      <c r="CM442">
        <v>2</v>
      </c>
      <c r="CN442">
        <v>0</v>
      </c>
      <c r="CO442">
        <v>6</v>
      </c>
      <c r="CP442" t="s">
        <v>119</v>
      </c>
      <c r="CQ442">
        <v>209</v>
      </c>
      <c r="CR442">
        <v>3</v>
      </c>
      <c r="CW442">
        <v>7178903</v>
      </c>
      <c r="CY442">
        <v>1</v>
      </c>
      <c r="CZ442">
        <v>0</v>
      </c>
      <c r="DA442">
        <v>1</v>
      </c>
      <c r="DB442">
        <v>0</v>
      </c>
      <c r="DC442">
        <v>0</v>
      </c>
      <c r="DD442">
        <v>0</v>
      </c>
      <c r="DE442">
        <v>0</v>
      </c>
      <c r="DF442">
        <v>0</v>
      </c>
      <c r="DG442">
        <v>0</v>
      </c>
      <c r="DH442">
        <v>0</v>
      </c>
      <c r="DI442">
        <v>0</v>
      </c>
    </row>
    <row r="443" spans="1:113" x14ac:dyDescent="0.3">
      <c r="A443" t="str">
        <f>"09/28/2021 13:54:10.308"</f>
        <v>09/28/2021 13:54:10.308</v>
      </c>
      <c r="C443" t="str">
        <f t="shared" si="23"/>
        <v>FFDFD3C0</v>
      </c>
      <c r="D443" t="s">
        <v>120</v>
      </c>
      <c r="E443">
        <v>12</v>
      </c>
      <c r="F443">
        <v>1012</v>
      </c>
      <c r="G443" t="s">
        <v>114</v>
      </c>
      <c r="J443" t="s">
        <v>121</v>
      </c>
      <c r="K443">
        <v>0</v>
      </c>
      <c r="L443">
        <v>3</v>
      </c>
      <c r="M443">
        <v>0</v>
      </c>
      <c r="N443">
        <v>2</v>
      </c>
      <c r="O443">
        <v>1</v>
      </c>
      <c r="P443">
        <v>0</v>
      </c>
      <c r="Q443">
        <v>0</v>
      </c>
      <c r="S443" t="str">
        <f>"13:54:10.102"</f>
        <v>13:54:10.102</v>
      </c>
      <c r="T443" t="str">
        <f>"13:54:09.702"</f>
        <v>13:54:09.702</v>
      </c>
      <c r="U443" t="str">
        <f t="shared" si="22"/>
        <v>A92BC1</v>
      </c>
      <c r="V443">
        <v>0</v>
      </c>
      <c r="W443">
        <v>0</v>
      </c>
      <c r="X443">
        <v>2</v>
      </c>
      <c r="Z443">
        <v>0</v>
      </c>
      <c r="AA443">
        <v>9</v>
      </c>
      <c r="AB443">
        <v>3</v>
      </c>
      <c r="AC443">
        <v>0</v>
      </c>
      <c r="AD443">
        <v>10</v>
      </c>
      <c r="AE443">
        <v>0</v>
      </c>
      <c r="AF443">
        <v>3</v>
      </c>
      <c r="AG443">
        <v>2</v>
      </c>
      <c r="AH443">
        <v>0</v>
      </c>
      <c r="AI443" t="s">
        <v>544</v>
      </c>
      <c r="AJ443">
        <v>45.732415000000003</v>
      </c>
      <c r="AK443" t="s">
        <v>545</v>
      </c>
      <c r="AL443">
        <v>-89.376182999999997</v>
      </c>
      <c r="AM443">
        <v>100</v>
      </c>
      <c r="AN443">
        <v>9000</v>
      </c>
      <c r="AO443" t="s">
        <v>118</v>
      </c>
      <c r="AP443">
        <v>130</v>
      </c>
      <c r="AQ443">
        <v>110</v>
      </c>
      <c r="AR443">
        <v>1984</v>
      </c>
      <c r="AZ443">
        <v>1200</v>
      </c>
      <c r="BA443">
        <v>1</v>
      </c>
      <c r="BB443" t="str">
        <f t="shared" si="24"/>
        <v xml:space="preserve">N690LS  </v>
      </c>
      <c r="BC443">
        <v>1</v>
      </c>
      <c r="BE443">
        <v>0</v>
      </c>
      <c r="BF443">
        <v>0</v>
      </c>
      <c r="BG443">
        <v>0</v>
      </c>
      <c r="BH443">
        <v>9250</v>
      </c>
      <c r="BI443">
        <v>1</v>
      </c>
      <c r="BJ443">
        <v>1</v>
      </c>
      <c r="BK443">
        <v>1</v>
      </c>
      <c r="BL443">
        <v>0</v>
      </c>
      <c r="BO443">
        <v>0</v>
      </c>
      <c r="BP443">
        <v>0</v>
      </c>
      <c r="BW443" t="str">
        <f>"13:54:10.106"</f>
        <v>13:54:10.106</v>
      </c>
      <c r="CJ443">
        <v>0</v>
      </c>
      <c r="CK443">
        <v>2</v>
      </c>
      <c r="CL443">
        <v>0</v>
      </c>
      <c r="CM443">
        <v>2</v>
      </c>
      <c r="CN443">
        <v>0</v>
      </c>
      <c r="CO443">
        <v>6</v>
      </c>
      <c r="CP443" t="s">
        <v>119</v>
      </c>
      <c r="CQ443">
        <v>209</v>
      </c>
      <c r="CR443">
        <v>3</v>
      </c>
      <c r="CW443">
        <v>7179167</v>
      </c>
      <c r="CY443">
        <v>1</v>
      </c>
      <c r="CZ443">
        <v>0</v>
      </c>
      <c r="DA443">
        <v>0</v>
      </c>
      <c r="DB443">
        <v>0</v>
      </c>
      <c r="DC443">
        <v>0</v>
      </c>
      <c r="DD443">
        <v>0</v>
      </c>
      <c r="DE443">
        <v>0</v>
      </c>
      <c r="DF443">
        <v>0</v>
      </c>
      <c r="DG443">
        <v>0</v>
      </c>
      <c r="DH443">
        <v>0</v>
      </c>
      <c r="DI443">
        <v>0</v>
      </c>
    </row>
    <row r="444" spans="1:113" x14ac:dyDescent="0.3">
      <c r="A444" t="str">
        <f>"09/28/2021 13:54:10.386"</f>
        <v>09/28/2021 13:54:10.386</v>
      </c>
      <c r="C444" t="str">
        <f t="shared" si="23"/>
        <v>FFDFD3C0</v>
      </c>
      <c r="D444" t="s">
        <v>113</v>
      </c>
      <c r="E444">
        <v>7</v>
      </c>
      <c r="H444">
        <v>170</v>
      </c>
      <c r="I444" t="s">
        <v>114</v>
      </c>
      <c r="J444" t="s">
        <v>115</v>
      </c>
      <c r="K444">
        <v>0</v>
      </c>
      <c r="L444">
        <v>3</v>
      </c>
      <c r="M444">
        <v>0</v>
      </c>
      <c r="N444">
        <v>2</v>
      </c>
      <c r="O444">
        <v>1</v>
      </c>
      <c r="P444">
        <v>0</v>
      </c>
      <c r="Q444">
        <v>0</v>
      </c>
      <c r="S444" t="str">
        <f>"13:54:10.102"</f>
        <v>13:54:10.102</v>
      </c>
      <c r="T444" t="str">
        <f>"13:54:09.702"</f>
        <v>13:54:09.702</v>
      </c>
      <c r="U444" t="str">
        <f t="shared" si="22"/>
        <v>A92BC1</v>
      </c>
      <c r="V444">
        <v>0</v>
      </c>
      <c r="W444">
        <v>0</v>
      </c>
      <c r="X444">
        <v>2</v>
      </c>
      <c r="Z444">
        <v>0</v>
      </c>
      <c r="AA444">
        <v>9</v>
      </c>
      <c r="AB444">
        <v>3</v>
      </c>
      <c r="AC444">
        <v>0</v>
      </c>
      <c r="AD444">
        <v>10</v>
      </c>
      <c r="AE444">
        <v>0</v>
      </c>
      <c r="AF444">
        <v>3</v>
      </c>
      <c r="AG444">
        <v>2</v>
      </c>
      <c r="AH444">
        <v>0</v>
      </c>
      <c r="AI444" t="s">
        <v>544</v>
      </c>
      <c r="AJ444">
        <v>45.732415000000003</v>
      </c>
      <c r="AK444" t="s">
        <v>545</v>
      </c>
      <c r="AL444">
        <v>-89.376182999999997</v>
      </c>
      <c r="AM444">
        <v>100</v>
      </c>
      <c r="AN444">
        <v>9000</v>
      </c>
      <c r="AO444" t="s">
        <v>118</v>
      </c>
      <c r="AP444">
        <v>130</v>
      </c>
      <c r="AQ444">
        <v>110</v>
      </c>
      <c r="AR444">
        <v>1984</v>
      </c>
      <c r="AZ444">
        <v>1200</v>
      </c>
      <c r="BA444">
        <v>1</v>
      </c>
      <c r="BB444" t="str">
        <f t="shared" si="24"/>
        <v xml:space="preserve">N690LS  </v>
      </c>
      <c r="BC444">
        <v>1</v>
      </c>
      <c r="BE444">
        <v>0</v>
      </c>
      <c r="BF444">
        <v>0</v>
      </c>
      <c r="BG444">
        <v>0</v>
      </c>
      <c r="BH444">
        <v>9250</v>
      </c>
      <c r="BI444">
        <v>1</v>
      </c>
      <c r="BJ444">
        <v>1</v>
      </c>
      <c r="BK444">
        <v>1</v>
      </c>
      <c r="BL444">
        <v>0</v>
      </c>
      <c r="BO444">
        <v>0</v>
      </c>
      <c r="BP444">
        <v>0</v>
      </c>
      <c r="BW444" t="str">
        <f>"13:54:10.106"</f>
        <v>13:54:10.106</v>
      </c>
      <c r="CJ444">
        <v>0</v>
      </c>
      <c r="CK444">
        <v>2</v>
      </c>
      <c r="CL444">
        <v>0</v>
      </c>
      <c r="CM444">
        <v>2</v>
      </c>
      <c r="CN444">
        <v>0</v>
      </c>
      <c r="CO444">
        <v>6</v>
      </c>
      <c r="CP444" t="s">
        <v>119</v>
      </c>
      <c r="CQ444">
        <v>209</v>
      </c>
      <c r="CR444">
        <v>3</v>
      </c>
      <c r="CW444">
        <v>7179167</v>
      </c>
      <c r="CY444">
        <v>1</v>
      </c>
      <c r="CZ444">
        <v>0</v>
      </c>
      <c r="DA444">
        <v>1</v>
      </c>
      <c r="DB444">
        <v>0</v>
      </c>
      <c r="DC444">
        <v>0</v>
      </c>
      <c r="DD444">
        <v>0</v>
      </c>
      <c r="DE444">
        <v>0</v>
      </c>
      <c r="DF444">
        <v>0</v>
      </c>
      <c r="DG444">
        <v>0</v>
      </c>
      <c r="DH444">
        <v>0</v>
      </c>
      <c r="DI444">
        <v>0</v>
      </c>
    </row>
    <row r="445" spans="1:113" x14ac:dyDescent="0.3">
      <c r="A445" t="str">
        <f>"09/28/2021 13:54:11.198"</f>
        <v>09/28/2021 13:54:11.198</v>
      </c>
      <c r="C445" t="str">
        <f t="shared" si="23"/>
        <v>FFDFD3C0</v>
      </c>
      <c r="D445" t="s">
        <v>120</v>
      </c>
      <c r="E445">
        <v>12</v>
      </c>
      <c r="F445">
        <v>1012</v>
      </c>
      <c r="G445" t="s">
        <v>114</v>
      </c>
      <c r="J445" t="s">
        <v>121</v>
      </c>
      <c r="K445">
        <v>0</v>
      </c>
      <c r="L445">
        <v>3</v>
      </c>
      <c r="M445">
        <v>0</v>
      </c>
      <c r="N445">
        <v>2</v>
      </c>
      <c r="O445">
        <v>1</v>
      </c>
      <c r="P445">
        <v>0</v>
      </c>
      <c r="Q445">
        <v>0</v>
      </c>
      <c r="S445" t="str">
        <f>"13:54:10.961"</f>
        <v>13:54:10.961</v>
      </c>
      <c r="T445" t="str">
        <f>"13:54:10.561"</f>
        <v>13:54:10.561</v>
      </c>
      <c r="U445" t="str">
        <f t="shared" si="22"/>
        <v>A92BC1</v>
      </c>
      <c r="V445">
        <v>0</v>
      </c>
      <c r="W445">
        <v>0</v>
      </c>
      <c r="X445">
        <v>2</v>
      </c>
      <c r="Z445">
        <v>0</v>
      </c>
      <c r="AA445">
        <v>9</v>
      </c>
      <c r="AB445">
        <v>3</v>
      </c>
      <c r="AC445">
        <v>0</v>
      </c>
      <c r="AD445">
        <v>10</v>
      </c>
      <c r="AE445">
        <v>0</v>
      </c>
      <c r="AF445">
        <v>3</v>
      </c>
      <c r="AG445">
        <v>2</v>
      </c>
      <c r="AH445">
        <v>0</v>
      </c>
      <c r="AI445" t="s">
        <v>546</v>
      </c>
      <c r="AJ445">
        <v>45.732886999999998</v>
      </c>
      <c r="AK445" t="s">
        <v>547</v>
      </c>
      <c r="AL445">
        <v>-89.375388999999998</v>
      </c>
      <c r="AM445">
        <v>100</v>
      </c>
      <c r="AN445">
        <v>9000</v>
      </c>
      <c r="AO445" t="s">
        <v>118</v>
      </c>
      <c r="AP445">
        <v>130</v>
      </c>
      <c r="AQ445">
        <v>111</v>
      </c>
      <c r="AR445">
        <v>1984</v>
      </c>
      <c r="AZ445">
        <v>1200</v>
      </c>
      <c r="BA445">
        <v>1</v>
      </c>
      <c r="BB445" t="str">
        <f t="shared" si="24"/>
        <v xml:space="preserve">N690LS  </v>
      </c>
      <c r="BC445">
        <v>1</v>
      </c>
      <c r="BE445">
        <v>0</v>
      </c>
      <c r="BF445">
        <v>0</v>
      </c>
      <c r="BG445">
        <v>0</v>
      </c>
      <c r="BH445">
        <v>9300</v>
      </c>
      <c r="BI445">
        <v>1</v>
      </c>
      <c r="BJ445">
        <v>1</v>
      </c>
      <c r="BK445">
        <v>1</v>
      </c>
      <c r="BL445">
        <v>0</v>
      </c>
      <c r="BO445">
        <v>0</v>
      </c>
      <c r="BP445">
        <v>0</v>
      </c>
      <c r="BW445" t="str">
        <f>"13:54:10.968"</f>
        <v>13:54:10.968</v>
      </c>
      <c r="CJ445">
        <v>0</v>
      </c>
      <c r="CK445">
        <v>2</v>
      </c>
      <c r="CL445">
        <v>0</v>
      </c>
      <c r="CM445">
        <v>2</v>
      </c>
      <c r="CN445">
        <v>0</v>
      </c>
      <c r="CO445">
        <v>7</v>
      </c>
      <c r="CP445" t="s">
        <v>119</v>
      </c>
      <c r="CQ445">
        <v>197</v>
      </c>
      <c r="CR445">
        <v>2</v>
      </c>
      <c r="CW445">
        <v>2286739</v>
      </c>
      <c r="CY445">
        <v>1</v>
      </c>
      <c r="CZ445">
        <v>0</v>
      </c>
      <c r="DA445">
        <v>0</v>
      </c>
      <c r="DB445">
        <v>0</v>
      </c>
      <c r="DC445">
        <v>0</v>
      </c>
      <c r="DD445">
        <v>0</v>
      </c>
      <c r="DE445">
        <v>0</v>
      </c>
      <c r="DF445">
        <v>0</v>
      </c>
      <c r="DG445">
        <v>0</v>
      </c>
      <c r="DH445">
        <v>0</v>
      </c>
      <c r="DI445">
        <v>0</v>
      </c>
    </row>
    <row r="446" spans="1:113" x14ac:dyDescent="0.3">
      <c r="A446" t="str">
        <f>"09/28/2021 13:54:11.198"</f>
        <v>09/28/2021 13:54:11.198</v>
      </c>
      <c r="C446" t="str">
        <f t="shared" si="23"/>
        <v>FFDFD3C0</v>
      </c>
      <c r="D446" t="s">
        <v>113</v>
      </c>
      <c r="E446">
        <v>7</v>
      </c>
      <c r="H446">
        <v>170</v>
      </c>
      <c r="I446" t="s">
        <v>114</v>
      </c>
      <c r="J446" t="s">
        <v>115</v>
      </c>
      <c r="K446">
        <v>0</v>
      </c>
      <c r="L446">
        <v>3</v>
      </c>
      <c r="M446">
        <v>0</v>
      </c>
      <c r="N446">
        <v>2</v>
      </c>
      <c r="O446">
        <v>1</v>
      </c>
      <c r="P446">
        <v>0</v>
      </c>
      <c r="Q446">
        <v>0</v>
      </c>
      <c r="S446" t="str">
        <f>"13:54:10.961"</f>
        <v>13:54:10.961</v>
      </c>
      <c r="T446" t="str">
        <f>"13:54:10.561"</f>
        <v>13:54:10.561</v>
      </c>
      <c r="U446" t="str">
        <f t="shared" si="22"/>
        <v>A92BC1</v>
      </c>
      <c r="V446">
        <v>0</v>
      </c>
      <c r="W446">
        <v>0</v>
      </c>
      <c r="X446">
        <v>2</v>
      </c>
      <c r="Z446">
        <v>0</v>
      </c>
      <c r="AA446">
        <v>9</v>
      </c>
      <c r="AB446">
        <v>3</v>
      </c>
      <c r="AC446">
        <v>0</v>
      </c>
      <c r="AD446">
        <v>10</v>
      </c>
      <c r="AE446">
        <v>0</v>
      </c>
      <c r="AF446">
        <v>3</v>
      </c>
      <c r="AG446">
        <v>2</v>
      </c>
      <c r="AH446">
        <v>0</v>
      </c>
      <c r="AI446" t="s">
        <v>546</v>
      </c>
      <c r="AJ446">
        <v>45.732886999999998</v>
      </c>
      <c r="AK446" t="s">
        <v>547</v>
      </c>
      <c r="AL446">
        <v>-89.375388999999998</v>
      </c>
      <c r="AM446">
        <v>100</v>
      </c>
      <c r="AN446">
        <v>9000</v>
      </c>
      <c r="AO446" t="s">
        <v>118</v>
      </c>
      <c r="AP446">
        <v>130</v>
      </c>
      <c r="AQ446">
        <v>111</v>
      </c>
      <c r="AR446">
        <v>1984</v>
      </c>
      <c r="AZ446">
        <v>1200</v>
      </c>
      <c r="BA446">
        <v>1</v>
      </c>
      <c r="BB446" t="str">
        <f t="shared" si="24"/>
        <v xml:space="preserve">N690LS  </v>
      </c>
      <c r="BC446">
        <v>1</v>
      </c>
      <c r="BE446">
        <v>0</v>
      </c>
      <c r="BF446">
        <v>0</v>
      </c>
      <c r="BG446">
        <v>0</v>
      </c>
      <c r="BH446">
        <v>9300</v>
      </c>
      <c r="BI446">
        <v>1</v>
      </c>
      <c r="BJ446">
        <v>1</v>
      </c>
      <c r="BK446">
        <v>1</v>
      </c>
      <c r="BL446">
        <v>0</v>
      </c>
      <c r="BO446">
        <v>0</v>
      </c>
      <c r="BP446">
        <v>0</v>
      </c>
      <c r="BW446" t="str">
        <f>"13:54:10.968"</f>
        <v>13:54:10.968</v>
      </c>
      <c r="CJ446">
        <v>0</v>
      </c>
      <c r="CK446">
        <v>2</v>
      </c>
      <c r="CL446">
        <v>0</v>
      </c>
      <c r="CM446">
        <v>2</v>
      </c>
      <c r="CN446">
        <v>0</v>
      </c>
      <c r="CO446">
        <v>7</v>
      </c>
      <c r="CP446" t="s">
        <v>119</v>
      </c>
      <c r="CQ446">
        <v>197</v>
      </c>
      <c r="CR446">
        <v>2</v>
      </c>
      <c r="CW446">
        <v>2286739</v>
      </c>
      <c r="CY446">
        <v>1</v>
      </c>
      <c r="CZ446">
        <v>0</v>
      </c>
      <c r="DA446">
        <v>1</v>
      </c>
      <c r="DB446">
        <v>0</v>
      </c>
      <c r="DC446">
        <v>0</v>
      </c>
      <c r="DD446">
        <v>0</v>
      </c>
      <c r="DE446">
        <v>0</v>
      </c>
      <c r="DF446">
        <v>0</v>
      </c>
      <c r="DG446">
        <v>0</v>
      </c>
      <c r="DH446">
        <v>0</v>
      </c>
      <c r="DI446">
        <v>0</v>
      </c>
    </row>
    <row r="447" spans="1:113" x14ac:dyDescent="0.3">
      <c r="A447" t="str">
        <f>"09/28/2021 13:54:12.166"</f>
        <v>09/28/2021 13:54:12.166</v>
      </c>
      <c r="C447" t="str">
        <f t="shared" si="23"/>
        <v>FFDFD3C0</v>
      </c>
      <c r="D447" t="s">
        <v>120</v>
      </c>
      <c r="E447">
        <v>12</v>
      </c>
      <c r="F447">
        <v>1012</v>
      </c>
      <c r="G447" t="s">
        <v>114</v>
      </c>
      <c r="J447" t="s">
        <v>121</v>
      </c>
      <c r="K447">
        <v>0</v>
      </c>
      <c r="L447">
        <v>3</v>
      </c>
      <c r="M447">
        <v>0</v>
      </c>
      <c r="N447">
        <v>2</v>
      </c>
      <c r="O447">
        <v>1</v>
      </c>
      <c r="P447">
        <v>0</v>
      </c>
      <c r="Q447">
        <v>0</v>
      </c>
      <c r="S447" t="str">
        <f>"13:54:11.977"</f>
        <v>13:54:11.977</v>
      </c>
      <c r="T447" t="str">
        <f>"13:54:11.477"</f>
        <v>13:54:11.477</v>
      </c>
      <c r="U447" t="str">
        <f t="shared" si="22"/>
        <v>A92BC1</v>
      </c>
      <c r="V447">
        <v>0</v>
      </c>
      <c r="W447">
        <v>0</v>
      </c>
      <c r="X447">
        <v>2</v>
      </c>
      <c r="Z447">
        <v>0</v>
      </c>
      <c r="AA447">
        <v>9</v>
      </c>
      <c r="AB447">
        <v>3</v>
      </c>
      <c r="AC447">
        <v>0</v>
      </c>
      <c r="AD447">
        <v>10</v>
      </c>
      <c r="AE447">
        <v>0</v>
      </c>
      <c r="AF447">
        <v>3</v>
      </c>
      <c r="AG447">
        <v>2</v>
      </c>
      <c r="AH447">
        <v>0</v>
      </c>
      <c r="AI447" t="s">
        <v>548</v>
      </c>
      <c r="AJ447">
        <v>45.733379999999997</v>
      </c>
      <c r="AK447" t="s">
        <v>549</v>
      </c>
      <c r="AL447">
        <v>-89.374572999999998</v>
      </c>
      <c r="AM447">
        <v>100</v>
      </c>
      <c r="AN447">
        <v>9100</v>
      </c>
      <c r="AO447" t="s">
        <v>118</v>
      </c>
      <c r="AP447">
        <v>129</v>
      </c>
      <c r="AQ447">
        <v>111</v>
      </c>
      <c r="AR447">
        <v>2048</v>
      </c>
      <c r="AZ447">
        <v>1200</v>
      </c>
      <c r="BA447">
        <v>1</v>
      </c>
      <c r="BB447" t="str">
        <f t="shared" si="24"/>
        <v xml:space="preserve">N690LS  </v>
      </c>
      <c r="BC447">
        <v>1</v>
      </c>
      <c r="BE447">
        <v>0</v>
      </c>
      <c r="BF447">
        <v>0</v>
      </c>
      <c r="BG447">
        <v>0</v>
      </c>
      <c r="BH447">
        <v>9325</v>
      </c>
      <c r="BI447">
        <v>1</v>
      </c>
      <c r="BJ447">
        <v>1</v>
      </c>
      <c r="BK447">
        <v>1</v>
      </c>
      <c r="BL447">
        <v>0</v>
      </c>
      <c r="BO447">
        <v>0</v>
      </c>
      <c r="BP447">
        <v>0</v>
      </c>
      <c r="BW447" t="str">
        <f>"13:54:11.979"</f>
        <v>13:54:11.979</v>
      </c>
      <c r="CJ447">
        <v>0</v>
      </c>
      <c r="CK447">
        <v>2</v>
      </c>
      <c r="CL447">
        <v>0</v>
      </c>
      <c r="CM447">
        <v>2</v>
      </c>
      <c r="CN447">
        <v>0</v>
      </c>
      <c r="CO447">
        <v>7</v>
      </c>
      <c r="CP447" t="s">
        <v>119</v>
      </c>
      <c r="CQ447">
        <v>197</v>
      </c>
      <c r="CR447">
        <v>1</v>
      </c>
      <c r="CW447">
        <v>7202750</v>
      </c>
      <c r="CY447">
        <v>1</v>
      </c>
      <c r="CZ447">
        <v>0</v>
      </c>
      <c r="DA447">
        <v>0</v>
      </c>
      <c r="DB447">
        <v>0</v>
      </c>
      <c r="DC447">
        <v>0</v>
      </c>
      <c r="DD447">
        <v>0</v>
      </c>
      <c r="DE447">
        <v>0</v>
      </c>
      <c r="DF447">
        <v>0</v>
      </c>
      <c r="DG447">
        <v>0</v>
      </c>
      <c r="DH447">
        <v>0</v>
      </c>
      <c r="DI447">
        <v>0</v>
      </c>
    </row>
    <row r="448" spans="1:113" x14ac:dyDescent="0.3">
      <c r="A448" t="str">
        <f>"09/28/2021 13:54:12.197"</f>
        <v>09/28/2021 13:54:12.197</v>
      </c>
      <c r="C448" t="str">
        <f t="shared" si="23"/>
        <v>FFDFD3C0</v>
      </c>
      <c r="D448" t="s">
        <v>113</v>
      </c>
      <c r="E448">
        <v>7</v>
      </c>
      <c r="H448">
        <v>170</v>
      </c>
      <c r="I448" t="s">
        <v>114</v>
      </c>
      <c r="J448" t="s">
        <v>115</v>
      </c>
      <c r="K448">
        <v>0</v>
      </c>
      <c r="L448">
        <v>3</v>
      </c>
      <c r="M448">
        <v>0</v>
      </c>
      <c r="N448">
        <v>2</v>
      </c>
      <c r="O448">
        <v>1</v>
      </c>
      <c r="P448">
        <v>0</v>
      </c>
      <c r="Q448">
        <v>0</v>
      </c>
      <c r="S448" t="str">
        <f>"13:54:11.977"</f>
        <v>13:54:11.977</v>
      </c>
      <c r="T448" t="str">
        <f>"13:54:11.477"</f>
        <v>13:54:11.477</v>
      </c>
      <c r="U448" t="str">
        <f t="shared" si="22"/>
        <v>A92BC1</v>
      </c>
      <c r="V448">
        <v>0</v>
      </c>
      <c r="W448">
        <v>0</v>
      </c>
      <c r="X448">
        <v>2</v>
      </c>
      <c r="Z448">
        <v>0</v>
      </c>
      <c r="AA448">
        <v>9</v>
      </c>
      <c r="AB448">
        <v>3</v>
      </c>
      <c r="AC448">
        <v>0</v>
      </c>
      <c r="AD448">
        <v>10</v>
      </c>
      <c r="AE448">
        <v>0</v>
      </c>
      <c r="AF448">
        <v>3</v>
      </c>
      <c r="AG448">
        <v>2</v>
      </c>
      <c r="AH448">
        <v>0</v>
      </c>
      <c r="AI448" t="s">
        <v>548</v>
      </c>
      <c r="AJ448">
        <v>45.733379999999997</v>
      </c>
      <c r="AK448" t="s">
        <v>549</v>
      </c>
      <c r="AL448">
        <v>-89.374572999999998</v>
      </c>
      <c r="AM448">
        <v>100</v>
      </c>
      <c r="AN448">
        <v>9100</v>
      </c>
      <c r="AO448" t="s">
        <v>118</v>
      </c>
      <c r="AP448">
        <v>129</v>
      </c>
      <c r="AQ448">
        <v>111</v>
      </c>
      <c r="AR448">
        <v>2048</v>
      </c>
      <c r="AZ448">
        <v>1200</v>
      </c>
      <c r="BA448">
        <v>1</v>
      </c>
      <c r="BB448" t="str">
        <f t="shared" si="24"/>
        <v xml:space="preserve">N690LS  </v>
      </c>
      <c r="BC448">
        <v>1</v>
      </c>
      <c r="BE448">
        <v>0</v>
      </c>
      <c r="BF448">
        <v>0</v>
      </c>
      <c r="BG448">
        <v>0</v>
      </c>
      <c r="BH448">
        <v>9325</v>
      </c>
      <c r="BI448">
        <v>1</v>
      </c>
      <c r="BJ448">
        <v>1</v>
      </c>
      <c r="BK448">
        <v>1</v>
      </c>
      <c r="BL448">
        <v>0</v>
      </c>
      <c r="BO448">
        <v>0</v>
      </c>
      <c r="BP448">
        <v>0</v>
      </c>
      <c r="BW448" t="str">
        <f>"13:54:11.979"</f>
        <v>13:54:11.979</v>
      </c>
      <c r="CJ448">
        <v>0</v>
      </c>
      <c r="CK448">
        <v>2</v>
      </c>
      <c r="CL448">
        <v>0</v>
      </c>
      <c r="CM448">
        <v>2</v>
      </c>
      <c r="CN448">
        <v>0</v>
      </c>
      <c r="CO448">
        <v>7</v>
      </c>
      <c r="CP448" t="s">
        <v>119</v>
      </c>
      <c r="CQ448">
        <v>197</v>
      </c>
      <c r="CR448">
        <v>1</v>
      </c>
      <c r="CW448">
        <v>7202750</v>
      </c>
      <c r="CY448">
        <v>1</v>
      </c>
      <c r="CZ448">
        <v>0</v>
      </c>
      <c r="DA448">
        <v>1</v>
      </c>
      <c r="DB448">
        <v>0</v>
      </c>
      <c r="DC448">
        <v>0</v>
      </c>
      <c r="DD448">
        <v>0</v>
      </c>
      <c r="DE448">
        <v>0</v>
      </c>
      <c r="DF448">
        <v>0</v>
      </c>
      <c r="DG448">
        <v>0</v>
      </c>
      <c r="DH448">
        <v>0</v>
      </c>
      <c r="DI448">
        <v>0</v>
      </c>
    </row>
    <row r="449" spans="1:113" x14ac:dyDescent="0.3">
      <c r="A449" t="str">
        <f>"09/28/2021 13:54:13.275"</f>
        <v>09/28/2021 13:54:13.275</v>
      </c>
      <c r="C449" t="str">
        <f t="shared" si="23"/>
        <v>FFDFD3C0</v>
      </c>
      <c r="D449" t="s">
        <v>113</v>
      </c>
      <c r="E449">
        <v>7</v>
      </c>
      <c r="H449">
        <v>170</v>
      </c>
      <c r="I449" t="s">
        <v>114</v>
      </c>
      <c r="J449" t="s">
        <v>115</v>
      </c>
      <c r="K449">
        <v>0</v>
      </c>
      <c r="L449">
        <v>3</v>
      </c>
      <c r="M449">
        <v>0</v>
      </c>
      <c r="N449">
        <v>2</v>
      </c>
      <c r="O449">
        <v>1</v>
      </c>
      <c r="P449">
        <v>0</v>
      </c>
      <c r="Q449">
        <v>0</v>
      </c>
      <c r="S449" t="str">
        <f>"13:54:13.078"</f>
        <v>13:54:13.078</v>
      </c>
      <c r="T449" t="str">
        <f>"13:54:12.578"</f>
        <v>13:54:12.578</v>
      </c>
      <c r="U449" t="str">
        <f t="shared" si="22"/>
        <v>A92BC1</v>
      </c>
      <c r="V449">
        <v>0</v>
      </c>
      <c r="W449">
        <v>0</v>
      </c>
      <c r="X449">
        <v>2</v>
      </c>
      <c r="Z449">
        <v>0</v>
      </c>
      <c r="AA449">
        <v>9</v>
      </c>
      <c r="AB449">
        <v>3</v>
      </c>
      <c r="AC449">
        <v>0</v>
      </c>
      <c r="AD449">
        <v>10</v>
      </c>
      <c r="AE449">
        <v>0</v>
      </c>
      <c r="AF449">
        <v>3</v>
      </c>
      <c r="AG449">
        <v>2</v>
      </c>
      <c r="AH449">
        <v>0</v>
      </c>
      <c r="AI449" t="s">
        <v>550</v>
      </c>
      <c r="AJ449">
        <v>45.733938000000002</v>
      </c>
      <c r="AK449" t="s">
        <v>551</v>
      </c>
      <c r="AL449">
        <v>-89.373650999999995</v>
      </c>
      <c r="AM449">
        <v>100</v>
      </c>
      <c r="AN449">
        <v>9100</v>
      </c>
      <c r="AO449" t="s">
        <v>118</v>
      </c>
      <c r="AP449">
        <v>129</v>
      </c>
      <c r="AQ449">
        <v>111</v>
      </c>
      <c r="AR449">
        <v>2048</v>
      </c>
      <c r="AZ449">
        <v>1200</v>
      </c>
      <c r="BA449">
        <v>1</v>
      </c>
      <c r="BB449" t="str">
        <f t="shared" si="24"/>
        <v xml:space="preserve">N690LS  </v>
      </c>
      <c r="BC449">
        <v>1</v>
      </c>
      <c r="BE449">
        <v>0</v>
      </c>
      <c r="BF449">
        <v>0</v>
      </c>
      <c r="BG449">
        <v>0</v>
      </c>
      <c r="BH449">
        <v>9350</v>
      </c>
      <c r="BI449">
        <v>1</v>
      </c>
      <c r="BJ449">
        <v>1</v>
      </c>
      <c r="BK449">
        <v>1</v>
      </c>
      <c r="BL449">
        <v>0</v>
      </c>
      <c r="BO449">
        <v>0</v>
      </c>
      <c r="BP449">
        <v>0</v>
      </c>
      <c r="BW449" t="str">
        <f>"13:54:13.080"</f>
        <v>13:54:13.080</v>
      </c>
      <c r="CJ449">
        <v>0</v>
      </c>
      <c r="CK449">
        <v>2</v>
      </c>
      <c r="CL449">
        <v>0</v>
      </c>
      <c r="CM449">
        <v>2</v>
      </c>
      <c r="CN449">
        <v>0</v>
      </c>
      <c r="CO449">
        <v>7</v>
      </c>
      <c r="CP449" t="s">
        <v>119</v>
      </c>
      <c r="CQ449">
        <v>197</v>
      </c>
      <c r="CR449">
        <v>2</v>
      </c>
      <c r="CW449">
        <v>2288683</v>
      </c>
      <c r="CY449">
        <v>1</v>
      </c>
      <c r="CZ449">
        <v>0</v>
      </c>
      <c r="DA449">
        <v>0</v>
      </c>
      <c r="DB449">
        <v>0</v>
      </c>
      <c r="DC449">
        <v>0</v>
      </c>
      <c r="DD449">
        <v>0</v>
      </c>
      <c r="DE449">
        <v>0</v>
      </c>
      <c r="DF449">
        <v>0</v>
      </c>
      <c r="DG449">
        <v>0</v>
      </c>
      <c r="DH449">
        <v>0</v>
      </c>
      <c r="DI449">
        <v>0</v>
      </c>
    </row>
    <row r="450" spans="1:113" x14ac:dyDescent="0.3">
      <c r="A450" t="str">
        <f>"09/28/2021 13:54:13.291"</f>
        <v>09/28/2021 13:54:13.291</v>
      </c>
      <c r="C450" t="str">
        <f t="shared" si="23"/>
        <v>FFDFD3C0</v>
      </c>
      <c r="D450" t="s">
        <v>120</v>
      </c>
      <c r="E450">
        <v>12</v>
      </c>
      <c r="F450">
        <v>1012</v>
      </c>
      <c r="G450" t="s">
        <v>114</v>
      </c>
      <c r="J450" t="s">
        <v>121</v>
      </c>
      <c r="K450">
        <v>0</v>
      </c>
      <c r="L450">
        <v>3</v>
      </c>
      <c r="M450">
        <v>0</v>
      </c>
      <c r="N450">
        <v>2</v>
      </c>
      <c r="O450">
        <v>1</v>
      </c>
      <c r="P450">
        <v>0</v>
      </c>
      <c r="Q450">
        <v>0</v>
      </c>
      <c r="S450" t="str">
        <f>"13:54:13.078"</f>
        <v>13:54:13.078</v>
      </c>
      <c r="T450" t="str">
        <f>"13:54:12.578"</f>
        <v>13:54:12.578</v>
      </c>
      <c r="U450" t="str">
        <f t="shared" ref="U450:U513" si="25">"A92BC1"</f>
        <v>A92BC1</v>
      </c>
      <c r="V450">
        <v>0</v>
      </c>
      <c r="W450">
        <v>0</v>
      </c>
      <c r="X450">
        <v>2</v>
      </c>
      <c r="Z450">
        <v>0</v>
      </c>
      <c r="AA450">
        <v>9</v>
      </c>
      <c r="AB450">
        <v>3</v>
      </c>
      <c r="AC450">
        <v>0</v>
      </c>
      <c r="AD450">
        <v>10</v>
      </c>
      <c r="AE450">
        <v>0</v>
      </c>
      <c r="AF450">
        <v>3</v>
      </c>
      <c r="AG450">
        <v>2</v>
      </c>
      <c r="AH450">
        <v>0</v>
      </c>
      <c r="AI450" t="s">
        <v>550</v>
      </c>
      <c r="AJ450">
        <v>45.733938000000002</v>
      </c>
      <c r="AK450" t="s">
        <v>551</v>
      </c>
      <c r="AL450">
        <v>-89.373650999999995</v>
      </c>
      <c r="AM450">
        <v>100</v>
      </c>
      <c r="AN450">
        <v>9100</v>
      </c>
      <c r="AO450" t="s">
        <v>118</v>
      </c>
      <c r="AP450">
        <v>129</v>
      </c>
      <c r="AQ450">
        <v>111</v>
      </c>
      <c r="AR450">
        <v>2048</v>
      </c>
      <c r="AZ450">
        <v>1200</v>
      </c>
      <c r="BA450">
        <v>1</v>
      </c>
      <c r="BB450" t="str">
        <f t="shared" si="24"/>
        <v xml:space="preserve">N690LS  </v>
      </c>
      <c r="BC450">
        <v>1</v>
      </c>
      <c r="BE450">
        <v>0</v>
      </c>
      <c r="BF450">
        <v>0</v>
      </c>
      <c r="BG450">
        <v>0</v>
      </c>
      <c r="BH450">
        <v>9350</v>
      </c>
      <c r="BI450">
        <v>1</v>
      </c>
      <c r="BJ450">
        <v>1</v>
      </c>
      <c r="BK450">
        <v>1</v>
      </c>
      <c r="BL450">
        <v>0</v>
      </c>
      <c r="BO450">
        <v>0</v>
      </c>
      <c r="BP450">
        <v>0</v>
      </c>
      <c r="BW450" t="str">
        <f>"13:54:13.080"</f>
        <v>13:54:13.080</v>
      </c>
      <c r="CJ450">
        <v>0</v>
      </c>
      <c r="CK450">
        <v>2</v>
      </c>
      <c r="CL450">
        <v>0</v>
      </c>
      <c r="CM450">
        <v>2</v>
      </c>
      <c r="CN450">
        <v>0</v>
      </c>
      <c r="CO450">
        <v>7</v>
      </c>
      <c r="CP450" t="s">
        <v>119</v>
      </c>
      <c r="CQ450">
        <v>197</v>
      </c>
      <c r="CR450">
        <v>2</v>
      </c>
      <c r="CW450">
        <v>2288683</v>
      </c>
      <c r="CY450">
        <v>1</v>
      </c>
      <c r="CZ450">
        <v>0</v>
      </c>
      <c r="DA450">
        <v>1</v>
      </c>
      <c r="DB450">
        <v>0</v>
      </c>
      <c r="DC450">
        <v>0</v>
      </c>
      <c r="DD450">
        <v>0</v>
      </c>
      <c r="DE450">
        <v>0</v>
      </c>
      <c r="DF450">
        <v>0</v>
      </c>
      <c r="DG450">
        <v>0</v>
      </c>
      <c r="DH450">
        <v>0</v>
      </c>
      <c r="DI450">
        <v>0</v>
      </c>
    </row>
    <row r="451" spans="1:113" x14ac:dyDescent="0.3">
      <c r="A451" t="str">
        <f>"09/28/2021 13:54:14.292"</f>
        <v>09/28/2021 13:54:14.292</v>
      </c>
      <c r="C451" t="str">
        <f t="shared" si="23"/>
        <v>FFDFD3C0</v>
      </c>
      <c r="D451" t="s">
        <v>120</v>
      </c>
      <c r="E451">
        <v>12</v>
      </c>
      <c r="F451">
        <v>1012</v>
      </c>
      <c r="G451" t="s">
        <v>114</v>
      </c>
      <c r="J451" t="s">
        <v>121</v>
      </c>
      <c r="K451">
        <v>0</v>
      </c>
      <c r="L451">
        <v>3</v>
      </c>
      <c r="M451">
        <v>0</v>
      </c>
      <c r="N451">
        <v>2</v>
      </c>
      <c r="O451">
        <v>1</v>
      </c>
      <c r="P451">
        <v>0</v>
      </c>
      <c r="Q451">
        <v>0</v>
      </c>
      <c r="S451" t="str">
        <f>"13:54:14.102"</f>
        <v>13:54:14.102</v>
      </c>
      <c r="T451" t="str">
        <f>"13:54:13.602"</f>
        <v>13:54:13.602</v>
      </c>
      <c r="U451" t="str">
        <f t="shared" si="25"/>
        <v>A92BC1</v>
      </c>
      <c r="V451">
        <v>0</v>
      </c>
      <c r="W451">
        <v>0</v>
      </c>
      <c r="X451">
        <v>2</v>
      </c>
      <c r="Z451">
        <v>0</v>
      </c>
      <c r="AA451">
        <v>9</v>
      </c>
      <c r="AB451">
        <v>3</v>
      </c>
      <c r="AC451">
        <v>0</v>
      </c>
      <c r="AD451">
        <v>10</v>
      </c>
      <c r="AE451">
        <v>0</v>
      </c>
      <c r="AF451">
        <v>3</v>
      </c>
      <c r="AG451">
        <v>2</v>
      </c>
      <c r="AH451">
        <v>0</v>
      </c>
      <c r="AI451" t="s">
        <v>552</v>
      </c>
      <c r="AJ451">
        <v>45.734453000000002</v>
      </c>
      <c r="AK451" t="s">
        <v>553</v>
      </c>
      <c r="AL451">
        <v>-89.372748999999999</v>
      </c>
      <c r="AM451">
        <v>100</v>
      </c>
      <c r="AN451">
        <v>9100</v>
      </c>
      <c r="AO451" t="s">
        <v>118</v>
      </c>
      <c r="AP451">
        <v>128</v>
      </c>
      <c r="AQ451">
        <v>111</v>
      </c>
      <c r="AR451">
        <v>2048</v>
      </c>
      <c r="AZ451">
        <v>1200</v>
      </c>
      <c r="BA451">
        <v>1</v>
      </c>
      <c r="BB451" t="str">
        <f t="shared" si="24"/>
        <v xml:space="preserve">N690LS  </v>
      </c>
      <c r="BC451">
        <v>1</v>
      </c>
      <c r="BE451">
        <v>0</v>
      </c>
      <c r="BF451">
        <v>0</v>
      </c>
      <c r="BG451">
        <v>0</v>
      </c>
      <c r="BH451">
        <v>9400</v>
      </c>
      <c r="BI451">
        <v>1</v>
      </c>
      <c r="BJ451">
        <v>1</v>
      </c>
      <c r="BK451">
        <v>1</v>
      </c>
      <c r="BL451">
        <v>0</v>
      </c>
      <c r="BO451">
        <v>0</v>
      </c>
      <c r="BP451">
        <v>0</v>
      </c>
      <c r="BW451" t="str">
        <f>"13:54:14.109"</f>
        <v>13:54:14.109</v>
      </c>
      <c r="CJ451">
        <v>0</v>
      </c>
      <c r="CK451">
        <v>2</v>
      </c>
      <c r="CL451">
        <v>0</v>
      </c>
      <c r="CM451">
        <v>2</v>
      </c>
      <c r="CN451">
        <v>0</v>
      </c>
      <c r="CO451">
        <v>7</v>
      </c>
      <c r="CP451" t="s">
        <v>119</v>
      </c>
      <c r="CQ451">
        <v>197</v>
      </c>
      <c r="CR451">
        <v>1</v>
      </c>
      <c r="CW451">
        <v>7205155</v>
      </c>
      <c r="CY451">
        <v>1</v>
      </c>
      <c r="CZ451">
        <v>0</v>
      </c>
      <c r="DA451">
        <v>0</v>
      </c>
      <c r="DB451">
        <v>0</v>
      </c>
      <c r="DC451">
        <v>0</v>
      </c>
      <c r="DD451">
        <v>0</v>
      </c>
      <c r="DE451">
        <v>0</v>
      </c>
      <c r="DF451">
        <v>0</v>
      </c>
      <c r="DG451">
        <v>0</v>
      </c>
      <c r="DH451">
        <v>0</v>
      </c>
      <c r="DI451">
        <v>0</v>
      </c>
    </row>
    <row r="452" spans="1:113" x14ac:dyDescent="0.3">
      <c r="A452" t="str">
        <f>"09/28/2021 13:54:14.339"</f>
        <v>09/28/2021 13:54:14.339</v>
      </c>
      <c r="C452" t="str">
        <f t="shared" si="23"/>
        <v>FFDFD3C0</v>
      </c>
      <c r="D452" t="s">
        <v>113</v>
      </c>
      <c r="E452">
        <v>7</v>
      </c>
      <c r="H452">
        <v>170</v>
      </c>
      <c r="I452" t="s">
        <v>114</v>
      </c>
      <c r="J452" t="s">
        <v>115</v>
      </c>
      <c r="K452">
        <v>0</v>
      </c>
      <c r="L452">
        <v>3</v>
      </c>
      <c r="M452">
        <v>0</v>
      </c>
      <c r="N452">
        <v>2</v>
      </c>
      <c r="O452">
        <v>1</v>
      </c>
      <c r="P452">
        <v>0</v>
      </c>
      <c r="Q452">
        <v>0</v>
      </c>
      <c r="S452" t="str">
        <f>"13:54:14.102"</f>
        <v>13:54:14.102</v>
      </c>
      <c r="T452" t="str">
        <f>"13:54:13.602"</f>
        <v>13:54:13.602</v>
      </c>
      <c r="U452" t="str">
        <f t="shared" si="25"/>
        <v>A92BC1</v>
      </c>
      <c r="V452">
        <v>0</v>
      </c>
      <c r="W452">
        <v>0</v>
      </c>
      <c r="X452">
        <v>2</v>
      </c>
      <c r="Z452">
        <v>0</v>
      </c>
      <c r="AA452">
        <v>9</v>
      </c>
      <c r="AB452">
        <v>3</v>
      </c>
      <c r="AC452">
        <v>0</v>
      </c>
      <c r="AD452">
        <v>10</v>
      </c>
      <c r="AE452">
        <v>0</v>
      </c>
      <c r="AF452">
        <v>3</v>
      </c>
      <c r="AG452">
        <v>2</v>
      </c>
      <c r="AH452">
        <v>0</v>
      </c>
      <c r="AI452" t="s">
        <v>552</v>
      </c>
      <c r="AJ452">
        <v>45.734453000000002</v>
      </c>
      <c r="AK452" t="s">
        <v>553</v>
      </c>
      <c r="AL452">
        <v>-89.372748999999999</v>
      </c>
      <c r="AM452">
        <v>100</v>
      </c>
      <c r="AN452">
        <v>9100</v>
      </c>
      <c r="AO452" t="s">
        <v>118</v>
      </c>
      <c r="AP452">
        <v>128</v>
      </c>
      <c r="AQ452">
        <v>111</v>
      </c>
      <c r="AR452">
        <v>2048</v>
      </c>
      <c r="AZ452">
        <v>1200</v>
      </c>
      <c r="BA452">
        <v>1</v>
      </c>
      <c r="BB452" t="str">
        <f t="shared" si="24"/>
        <v xml:space="preserve">N690LS  </v>
      </c>
      <c r="BC452">
        <v>1</v>
      </c>
      <c r="BE452">
        <v>0</v>
      </c>
      <c r="BF452">
        <v>0</v>
      </c>
      <c r="BG452">
        <v>0</v>
      </c>
      <c r="BH452">
        <v>9400</v>
      </c>
      <c r="BI452">
        <v>1</v>
      </c>
      <c r="BJ452">
        <v>1</v>
      </c>
      <c r="BK452">
        <v>1</v>
      </c>
      <c r="BL452">
        <v>0</v>
      </c>
      <c r="BO452">
        <v>0</v>
      </c>
      <c r="BP452">
        <v>0</v>
      </c>
      <c r="BW452" t="str">
        <f>"13:54:14.109"</f>
        <v>13:54:14.109</v>
      </c>
      <c r="CJ452">
        <v>0</v>
      </c>
      <c r="CK452">
        <v>2</v>
      </c>
      <c r="CL452">
        <v>0</v>
      </c>
      <c r="CM452">
        <v>2</v>
      </c>
      <c r="CN452">
        <v>0</v>
      </c>
      <c r="CO452">
        <v>7</v>
      </c>
      <c r="CP452" t="s">
        <v>119</v>
      </c>
      <c r="CQ452">
        <v>197</v>
      </c>
      <c r="CR452">
        <v>1</v>
      </c>
      <c r="CW452">
        <v>7205155</v>
      </c>
      <c r="CY452">
        <v>1</v>
      </c>
      <c r="CZ452">
        <v>0</v>
      </c>
      <c r="DA452">
        <v>1</v>
      </c>
      <c r="DB452">
        <v>0</v>
      </c>
      <c r="DC452">
        <v>0</v>
      </c>
      <c r="DD452">
        <v>0</v>
      </c>
      <c r="DE452">
        <v>0</v>
      </c>
      <c r="DF452">
        <v>0</v>
      </c>
      <c r="DG452">
        <v>0</v>
      </c>
      <c r="DH452">
        <v>0</v>
      </c>
      <c r="DI452">
        <v>0</v>
      </c>
    </row>
    <row r="453" spans="1:113" x14ac:dyDescent="0.3">
      <c r="A453" t="str">
        <f>"09/28/2021 13:54:15.370"</f>
        <v>09/28/2021 13:54:15.370</v>
      </c>
      <c r="C453" t="str">
        <f t="shared" si="23"/>
        <v>FFDFD3C0</v>
      </c>
      <c r="D453" t="s">
        <v>113</v>
      </c>
      <c r="E453">
        <v>7</v>
      </c>
      <c r="H453">
        <v>170</v>
      </c>
      <c r="I453" t="s">
        <v>114</v>
      </c>
      <c r="J453" t="s">
        <v>115</v>
      </c>
      <c r="K453">
        <v>0</v>
      </c>
      <c r="L453">
        <v>3</v>
      </c>
      <c r="M453">
        <v>0</v>
      </c>
      <c r="N453">
        <v>2</v>
      </c>
      <c r="O453">
        <v>1</v>
      </c>
      <c r="P453">
        <v>0</v>
      </c>
      <c r="Q453">
        <v>0</v>
      </c>
      <c r="S453" t="str">
        <f>"13:54:15.125"</f>
        <v>13:54:15.125</v>
      </c>
      <c r="T453" t="str">
        <f>"13:54:14.725"</f>
        <v>13:54:14.725</v>
      </c>
      <c r="U453" t="str">
        <f t="shared" si="25"/>
        <v>A92BC1</v>
      </c>
      <c r="V453">
        <v>0</v>
      </c>
      <c r="W453">
        <v>0</v>
      </c>
      <c r="X453">
        <v>2</v>
      </c>
      <c r="Z453">
        <v>0</v>
      </c>
      <c r="AA453">
        <v>9</v>
      </c>
      <c r="AB453">
        <v>3</v>
      </c>
      <c r="AC453">
        <v>0</v>
      </c>
      <c r="AD453">
        <v>10</v>
      </c>
      <c r="AE453">
        <v>0</v>
      </c>
      <c r="AF453">
        <v>3</v>
      </c>
      <c r="AG453">
        <v>2</v>
      </c>
      <c r="AH453">
        <v>0</v>
      </c>
      <c r="AI453" t="s">
        <v>554</v>
      </c>
      <c r="AJ453">
        <v>45.735033000000001</v>
      </c>
      <c r="AK453" t="s">
        <v>555</v>
      </c>
      <c r="AL453">
        <v>-89.371826999999996</v>
      </c>
      <c r="AM453">
        <v>100</v>
      </c>
      <c r="AN453">
        <v>9200</v>
      </c>
      <c r="AO453" t="s">
        <v>118</v>
      </c>
      <c r="AP453">
        <v>128</v>
      </c>
      <c r="AQ453">
        <v>112</v>
      </c>
      <c r="AR453">
        <v>2048</v>
      </c>
      <c r="AZ453">
        <v>1200</v>
      </c>
      <c r="BA453">
        <v>1</v>
      </c>
      <c r="BB453" t="str">
        <f t="shared" si="24"/>
        <v xml:space="preserve">N690LS  </v>
      </c>
      <c r="BC453">
        <v>1</v>
      </c>
      <c r="BE453">
        <v>0</v>
      </c>
      <c r="BF453">
        <v>0</v>
      </c>
      <c r="BG453">
        <v>0</v>
      </c>
      <c r="BH453">
        <v>9425</v>
      </c>
      <c r="BI453">
        <v>1</v>
      </c>
      <c r="BJ453">
        <v>1</v>
      </c>
      <c r="BK453">
        <v>1</v>
      </c>
      <c r="BL453">
        <v>0</v>
      </c>
      <c r="BO453">
        <v>0</v>
      </c>
      <c r="BP453">
        <v>0</v>
      </c>
      <c r="BW453" t="str">
        <f>"13:54:15.128"</f>
        <v>13:54:15.128</v>
      </c>
      <c r="CJ453">
        <v>0</v>
      </c>
      <c r="CK453">
        <v>2</v>
      </c>
      <c r="CL453">
        <v>0</v>
      </c>
      <c r="CM453">
        <v>2</v>
      </c>
      <c r="CN453">
        <v>0</v>
      </c>
      <c r="CO453">
        <v>7</v>
      </c>
      <c r="CP453" t="s">
        <v>119</v>
      </c>
      <c r="CQ453">
        <v>197</v>
      </c>
      <c r="CR453">
        <v>2</v>
      </c>
      <c r="CW453">
        <v>2290573</v>
      </c>
      <c r="CY453">
        <v>1</v>
      </c>
      <c r="CZ453">
        <v>0</v>
      </c>
      <c r="DA453">
        <v>0</v>
      </c>
      <c r="DB453">
        <v>0</v>
      </c>
      <c r="DC453">
        <v>0</v>
      </c>
      <c r="DD453">
        <v>0</v>
      </c>
      <c r="DE453">
        <v>0</v>
      </c>
      <c r="DF453">
        <v>0</v>
      </c>
      <c r="DG453">
        <v>0</v>
      </c>
      <c r="DH453">
        <v>0</v>
      </c>
      <c r="DI453">
        <v>0</v>
      </c>
    </row>
    <row r="454" spans="1:113" x14ac:dyDescent="0.3">
      <c r="A454" t="str">
        <f>"09/28/2021 13:54:15.370"</f>
        <v>09/28/2021 13:54:15.370</v>
      </c>
      <c r="C454" t="str">
        <f t="shared" si="23"/>
        <v>FFDFD3C0</v>
      </c>
      <c r="D454" t="s">
        <v>120</v>
      </c>
      <c r="E454">
        <v>12</v>
      </c>
      <c r="F454">
        <v>1012</v>
      </c>
      <c r="G454" t="s">
        <v>114</v>
      </c>
      <c r="J454" t="s">
        <v>121</v>
      </c>
      <c r="K454">
        <v>0</v>
      </c>
      <c r="L454">
        <v>3</v>
      </c>
      <c r="M454">
        <v>0</v>
      </c>
      <c r="N454">
        <v>2</v>
      </c>
      <c r="O454">
        <v>1</v>
      </c>
      <c r="P454">
        <v>0</v>
      </c>
      <c r="Q454">
        <v>0</v>
      </c>
      <c r="S454" t="str">
        <f>"13:54:15.125"</f>
        <v>13:54:15.125</v>
      </c>
      <c r="T454" t="str">
        <f>"13:54:14.725"</f>
        <v>13:54:14.725</v>
      </c>
      <c r="U454" t="str">
        <f t="shared" si="25"/>
        <v>A92BC1</v>
      </c>
      <c r="V454">
        <v>0</v>
      </c>
      <c r="W454">
        <v>0</v>
      </c>
      <c r="X454">
        <v>2</v>
      </c>
      <c r="Z454">
        <v>0</v>
      </c>
      <c r="AA454">
        <v>9</v>
      </c>
      <c r="AB454">
        <v>3</v>
      </c>
      <c r="AC454">
        <v>0</v>
      </c>
      <c r="AD454">
        <v>10</v>
      </c>
      <c r="AE454">
        <v>0</v>
      </c>
      <c r="AF454">
        <v>3</v>
      </c>
      <c r="AG454">
        <v>2</v>
      </c>
      <c r="AH454">
        <v>0</v>
      </c>
      <c r="AI454" t="s">
        <v>554</v>
      </c>
      <c r="AJ454">
        <v>45.735033000000001</v>
      </c>
      <c r="AK454" t="s">
        <v>555</v>
      </c>
      <c r="AL454">
        <v>-89.371826999999996</v>
      </c>
      <c r="AM454">
        <v>100</v>
      </c>
      <c r="AN454">
        <v>9200</v>
      </c>
      <c r="AO454" t="s">
        <v>118</v>
      </c>
      <c r="AP454">
        <v>128</v>
      </c>
      <c r="AQ454">
        <v>112</v>
      </c>
      <c r="AR454">
        <v>2048</v>
      </c>
      <c r="AZ454">
        <v>1200</v>
      </c>
      <c r="BA454">
        <v>1</v>
      </c>
      <c r="BB454" t="str">
        <f t="shared" si="24"/>
        <v xml:space="preserve">N690LS  </v>
      </c>
      <c r="BC454">
        <v>1</v>
      </c>
      <c r="BE454">
        <v>0</v>
      </c>
      <c r="BF454">
        <v>0</v>
      </c>
      <c r="BG454">
        <v>0</v>
      </c>
      <c r="BH454">
        <v>9425</v>
      </c>
      <c r="BI454">
        <v>1</v>
      </c>
      <c r="BJ454">
        <v>1</v>
      </c>
      <c r="BK454">
        <v>1</v>
      </c>
      <c r="BL454">
        <v>0</v>
      </c>
      <c r="BO454">
        <v>0</v>
      </c>
      <c r="BP454">
        <v>0</v>
      </c>
      <c r="BW454" t="str">
        <f>"13:54:15.128"</f>
        <v>13:54:15.128</v>
      </c>
      <c r="CJ454">
        <v>0</v>
      </c>
      <c r="CK454">
        <v>2</v>
      </c>
      <c r="CL454">
        <v>0</v>
      </c>
      <c r="CM454">
        <v>2</v>
      </c>
      <c r="CN454">
        <v>0</v>
      </c>
      <c r="CO454">
        <v>7</v>
      </c>
      <c r="CP454" t="s">
        <v>119</v>
      </c>
      <c r="CQ454">
        <v>197</v>
      </c>
      <c r="CR454">
        <v>2</v>
      </c>
      <c r="CW454">
        <v>2290573</v>
      </c>
      <c r="CY454">
        <v>1</v>
      </c>
      <c r="CZ454">
        <v>0</v>
      </c>
      <c r="DA454">
        <v>1</v>
      </c>
      <c r="DB454">
        <v>0</v>
      </c>
      <c r="DC454">
        <v>0</v>
      </c>
      <c r="DD454">
        <v>0</v>
      </c>
      <c r="DE454">
        <v>0</v>
      </c>
      <c r="DF454">
        <v>0</v>
      </c>
      <c r="DG454">
        <v>0</v>
      </c>
      <c r="DH454">
        <v>0</v>
      </c>
      <c r="DI454">
        <v>0</v>
      </c>
    </row>
    <row r="455" spans="1:113" x14ac:dyDescent="0.3">
      <c r="A455" t="str">
        <f>"09/28/2021 13:54:16.433"</f>
        <v>09/28/2021 13:54:16.433</v>
      </c>
      <c r="C455" t="str">
        <f t="shared" si="23"/>
        <v>FFDFD3C0</v>
      </c>
      <c r="D455" t="s">
        <v>113</v>
      </c>
      <c r="E455">
        <v>7</v>
      </c>
      <c r="H455">
        <v>170</v>
      </c>
      <c r="I455" t="s">
        <v>114</v>
      </c>
      <c r="J455" t="s">
        <v>115</v>
      </c>
      <c r="K455">
        <v>0</v>
      </c>
      <c r="L455">
        <v>3</v>
      </c>
      <c r="M455">
        <v>0</v>
      </c>
      <c r="N455">
        <v>2</v>
      </c>
      <c r="O455">
        <v>1</v>
      </c>
      <c r="P455">
        <v>0</v>
      </c>
      <c r="Q455">
        <v>0</v>
      </c>
      <c r="S455" t="str">
        <f>"13:54:16.180"</f>
        <v>13:54:16.180</v>
      </c>
      <c r="T455" t="str">
        <f>"13:54:15.780"</f>
        <v>13:54:15.780</v>
      </c>
      <c r="U455" t="str">
        <f t="shared" si="25"/>
        <v>A92BC1</v>
      </c>
      <c r="V455">
        <v>0</v>
      </c>
      <c r="W455">
        <v>0</v>
      </c>
      <c r="X455">
        <v>2</v>
      </c>
      <c r="Z455">
        <v>0</v>
      </c>
      <c r="AA455">
        <v>9</v>
      </c>
      <c r="AB455">
        <v>3</v>
      </c>
      <c r="AC455">
        <v>0</v>
      </c>
      <c r="AD455">
        <v>10</v>
      </c>
      <c r="AE455">
        <v>0</v>
      </c>
      <c r="AF455">
        <v>3</v>
      </c>
      <c r="AG455">
        <v>2</v>
      </c>
      <c r="AH455">
        <v>0</v>
      </c>
      <c r="AI455" t="s">
        <v>556</v>
      </c>
      <c r="AJ455">
        <v>45.735590000000002</v>
      </c>
      <c r="AK455" t="s">
        <v>557</v>
      </c>
      <c r="AL455">
        <v>-89.371032999999997</v>
      </c>
      <c r="AM455">
        <v>100</v>
      </c>
      <c r="AN455">
        <v>9200</v>
      </c>
      <c r="AO455" t="s">
        <v>118</v>
      </c>
      <c r="AP455">
        <v>127</v>
      </c>
      <c r="AQ455">
        <v>112</v>
      </c>
      <c r="AR455">
        <v>2048</v>
      </c>
      <c r="AZ455">
        <v>1200</v>
      </c>
      <c r="BA455">
        <v>1</v>
      </c>
      <c r="BB455" t="str">
        <f t="shared" si="24"/>
        <v xml:space="preserve">N690LS  </v>
      </c>
      <c r="BC455">
        <v>1</v>
      </c>
      <c r="BE455">
        <v>0</v>
      </c>
      <c r="BF455">
        <v>0</v>
      </c>
      <c r="BG455">
        <v>0</v>
      </c>
      <c r="BH455">
        <v>9475</v>
      </c>
      <c r="BI455">
        <v>1</v>
      </c>
      <c r="BJ455">
        <v>1</v>
      </c>
      <c r="BK455">
        <v>1</v>
      </c>
      <c r="BL455">
        <v>0</v>
      </c>
      <c r="BO455">
        <v>0</v>
      </c>
      <c r="BP455">
        <v>0</v>
      </c>
      <c r="BW455" t="str">
        <f>"13:54:16.181"</f>
        <v>13:54:16.181</v>
      </c>
      <c r="CJ455">
        <v>0</v>
      </c>
      <c r="CK455">
        <v>2</v>
      </c>
      <c r="CL455">
        <v>0</v>
      </c>
      <c r="CM455">
        <v>2</v>
      </c>
      <c r="CN455">
        <v>0</v>
      </c>
      <c r="CO455">
        <v>7</v>
      </c>
      <c r="CP455" t="s">
        <v>119</v>
      </c>
      <c r="CQ455">
        <v>197</v>
      </c>
      <c r="CR455">
        <v>2</v>
      </c>
      <c r="CW455">
        <v>2291558</v>
      </c>
      <c r="CY455">
        <v>1</v>
      </c>
      <c r="CZ455">
        <v>0</v>
      </c>
      <c r="DA455">
        <v>0</v>
      </c>
      <c r="DB455">
        <v>0</v>
      </c>
      <c r="DC455">
        <v>0</v>
      </c>
      <c r="DD455">
        <v>0</v>
      </c>
      <c r="DE455">
        <v>0</v>
      </c>
      <c r="DF455">
        <v>0</v>
      </c>
      <c r="DG455">
        <v>0</v>
      </c>
      <c r="DH455">
        <v>0</v>
      </c>
      <c r="DI455">
        <v>0</v>
      </c>
    </row>
    <row r="456" spans="1:113" x14ac:dyDescent="0.3">
      <c r="A456" t="str">
        <f>"09/28/2021 13:54:16.433"</f>
        <v>09/28/2021 13:54:16.433</v>
      </c>
      <c r="C456" t="str">
        <f t="shared" si="23"/>
        <v>FFDFD3C0</v>
      </c>
      <c r="D456" t="s">
        <v>120</v>
      </c>
      <c r="E456">
        <v>12</v>
      </c>
      <c r="F456">
        <v>1012</v>
      </c>
      <c r="G456" t="s">
        <v>114</v>
      </c>
      <c r="J456" t="s">
        <v>121</v>
      </c>
      <c r="K456">
        <v>0</v>
      </c>
      <c r="L456">
        <v>3</v>
      </c>
      <c r="M456">
        <v>0</v>
      </c>
      <c r="N456">
        <v>2</v>
      </c>
      <c r="O456">
        <v>1</v>
      </c>
      <c r="P456">
        <v>0</v>
      </c>
      <c r="Q456">
        <v>0</v>
      </c>
      <c r="S456" t="str">
        <f>"13:54:16.180"</f>
        <v>13:54:16.180</v>
      </c>
      <c r="T456" t="str">
        <f>"13:54:15.780"</f>
        <v>13:54:15.780</v>
      </c>
      <c r="U456" t="str">
        <f t="shared" si="25"/>
        <v>A92BC1</v>
      </c>
      <c r="V456">
        <v>0</v>
      </c>
      <c r="W456">
        <v>0</v>
      </c>
      <c r="X456">
        <v>2</v>
      </c>
      <c r="Z456">
        <v>0</v>
      </c>
      <c r="AA456">
        <v>9</v>
      </c>
      <c r="AB456">
        <v>3</v>
      </c>
      <c r="AC456">
        <v>0</v>
      </c>
      <c r="AD456">
        <v>10</v>
      </c>
      <c r="AE456">
        <v>0</v>
      </c>
      <c r="AF456">
        <v>3</v>
      </c>
      <c r="AG456">
        <v>2</v>
      </c>
      <c r="AH456">
        <v>0</v>
      </c>
      <c r="AI456" t="s">
        <v>556</v>
      </c>
      <c r="AJ456">
        <v>45.735590000000002</v>
      </c>
      <c r="AK456" t="s">
        <v>557</v>
      </c>
      <c r="AL456">
        <v>-89.371032999999997</v>
      </c>
      <c r="AM456">
        <v>100</v>
      </c>
      <c r="AN456">
        <v>9200</v>
      </c>
      <c r="AO456" t="s">
        <v>118</v>
      </c>
      <c r="AP456">
        <v>127</v>
      </c>
      <c r="AQ456">
        <v>112</v>
      </c>
      <c r="AR456">
        <v>2048</v>
      </c>
      <c r="AZ456">
        <v>1200</v>
      </c>
      <c r="BA456">
        <v>1</v>
      </c>
      <c r="BB456" t="str">
        <f t="shared" si="24"/>
        <v xml:space="preserve">N690LS  </v>
      </c>
      <c r="BC456">
        <v>1</v>
      </c>
      <c r="BE456">
        <v>0</v>
      </c>
      <c r="BF456">
        <v>0</v>
      </c>
      <c r="BG456">
        <v>0</v>
      </c>
      <c r="BH456">
        <v>9475</v>
      </c>
      <c r="BI456">
        <v>1</v>
      </c>
      <c r="BJ456">
        <v>1</v>
      </c>
      <c r="BK456">
        <v>1</v>
      </c>
      <c r="BL456">
        <v>0</v>
      </c>
      <c r="BO456">
        <v>0</v>
      </c>
      <c r="BP456">
        <v>0</v>
      </c>
      <c r="BW456" t="str">
        <f>"13:54:16.181"</f>
        <v>13:54:16.181</v>
      </c>
      <c r="CJ456">
        <v>0</v>
      </c>
      <c r="CK456">
        <v>2</v>
      </c>
      <c r="CL456">
        <v>0</v>
      </c>
      <c r="CM456">
        <v>2</v>
      </c>
      <c r="CN456">
        <v>0</v>
      </c>
      <c r="CO456">
        <v>7</v>
      </c>
      <c r="CP456" t="s">
        <v>119</v>
      </c>
      <c r="CQ456">
        <v>197</v>
      </c>
      <c r="CR456">
        <v>2</v>
      </c>
      <c r="CW456">
        <v>2291558</v>
      </c>
      <c r="CY456">
        <v>1</v>
      </c>
      <c r="CZ456">
        <v>0</v>
      </c>
      <c r="DA456">
        <v>1</v>
      </c>
      <c r="DB456">
        <v>0</v>
      </c>
      <c r="DC456">
        <v>0</v>
      </c>
      <c r="DD456">
        <v>0</v>
      </c>
      <c r="DE456">
        <v>0</v>
      </c>
      <c r="DF456">
        <v>0</v>
      </c>
      <c r="DG456">
        <v>0</v>
      </c>
      <c r="DH456">
        <v>0</v>
      </c>
      <c r="DI456">
        <v>0</v>
      </c>
    </row>
    <row r="457" spans="1:113" x14ac:dyDescent="0.3">
      <c r="A457" t="str">
        <f>"09/28/2021 13:54:17.304"</f>
        <v>09/28/2021 13:54:17.304</v>
      </c>
      <c r="C457" t="str">
        <f t="shared" si="23"/>
        <v>FFDFD3C0</v>
      </c>
      <c r="D457" t="s">
        <v>113</v>
      </c>
      <c r="E457">
        <v>7</v>
      </c>
      <c r="H457">
        <v>170</v>
      </c>
      <c r="I457" t="s">
        <v>114</v>
      </c>
      <c r="J457" t="s">
        <v>115</v>
      </c>
      <c r="K457">
        <v>0</v>
      </c>
      <c r="L457">
        <v>3</v>
      </c>
      <c r="M457">
        <v>0</v>
      </c>
      <c r="N457">
        <v>2</v>
      </c>
      <c r="O457">
        <v>1</v>
      </c>
      <c r="P457">
        <v>0</v>
      </c>
      <c r="Q457">
        <v>0</v>
      </c>
      <c r="S457" t="str">
        <f>"13:54:17.102"</f>
        <v>13:54:17.102</v>
      </c>
      <c r="T457" t="str">
        <f>"13:54:16.702"</f>
        <v>13:54:16.702</v>
      </c>
      <c r="U457" t="str">
        <f t="shared" si="25"/>
        <v>A92BC1</v>
      </c>
      <c r="V457">
        <v>0</v>
      </c>
      <c r="W457">
        <v>0</v>
      </c>
      <c r="X457">
        <v>2</v>
      </c>
      <c r="Z457">
        <v>0</v>
      </c>
      <c r="AA457">
        <v>9</v>
      </c>
      <c r="AB457">
        <v>3</v>
      </c>
      <c r="AC457">
        <v>0</v>
      </c>
      <c r="AD457">
        <v>10</v>
      </c>
      <c r="AE457">
        <v>0</v>
      </c>
      <c r="AF457">
        <v>3</v>
      </c>
      <c r="AG457">
        <v>2</v>
      </c>
      <c r="AH457">
        <v>0</v>
      </c>
      <c r="AI457" t="s">
        <v>558</v>
      </c>
      <c r="AJ457">
        <v>45.736041</v>
      </c>
      <c r="AK457" t="s">
        <v>559</v>
      </c>
      <c r="AL457">
        <v>-89.370282000000003</v>
      </c>
      <c r="AM457">
        <v>100</v>
      </c>
      <c r="AN457">
        <v>9200</v>
      </c>
      <c r="AO457" t="s">
        <v>118</v>
      </c>
      <c r="AP457">
        <v>127</v>
      </c>
      <c r="AQ457">
        <v>112</v>
      </c>
      <c r="AR457">
        <v>2048</v>
      </c>
      <c r="AZ457">
        <v>1200</v>
      </c>
      <c r="BA457">
        <v>1</v>
      </c>
      <c r="BB457" t="str">
        <f t="shared" si="24"/>
        <v xml:space="preserve">N690LS  </v>
      </c>
      <c r="BC457">
        <v>1</v>
      </c>
      <c r="BE457">
        <v>0</v>
      </c>
      <c r="BF457">
        <v>0</v>
      </c>
      <c r="BG457">
        <v>0</v>
      </c>
      <c r="BH457">
        <v>9500</v>
      </c>
      <c r="BI457">
        <v>1</v>
      </c>
      <c r="BJ457">
        <v>1</v>
      </c>
      <c r="BK457">
        <v>1</v>
      </c>
      <c r="BL457">
        <v>0</v>
      </c>
      <c r="BO457">
        <v>0</v>
      </c>
      <c r="BP457">
        <v>0</v>
      </c>
      <c r="BW457" t="str">
        <f>"13:54:17.102"</f>
        <v>13:54:17.102</v>
      </c>
      <c r="CJ457">
        <v>0</v>
      </c>
      <c r="CK457">
        <v>2</v>
      </c>
      <c r="CL457">
        <v>0</v>
      </c>
      <c r="CM457">
        <v>2</v>
      </c>
      <c r="CN457">
        <v>0</v>
      </c>
      <c r="CO457">
        <v>6</v>
      </c>
      <c r="CP457" t="s">
        <v>119</v>
      </c>
      <c r="CQ457">
        <v>209</v>
      </c>
      <c r="CR457">
        <v>2</v>
      </c>
      <c r="CW457">
        <v>11680712</v>
      </c>
      <c r="CY457">
        <v>1</v>
      </c>
      <c r="CZ457">
        <v>0</v>
      </c>
      <c r="DA457">
        <v>0</v>
      </c>
      <c r="DB457">
        <v>0</v>
      </c>
      <c r="DC457">
        <v>0</v>
      </c>
      <c r="DD457">
        <v>0</v>
      </c>
      <c r="DE457">
        <v>0</v>
      </c>
      <c r="DF457">
        <v>0</v>
      </c>
      <c r="DG457">
        <v>0</v>
      </c>
      <c r="DH457">
        <v>0</v>
      </c>
      <c r="DI457">
        <v>0</v>
      </c>
    </row>
    <row r="458" spans="1:113" x14ac:dyDescent="0.3">
      <c r="A458" t="str">
        <f>"09/28/2021 13:54:17.304"</f>
        <v>09/28/2021 13:54:17.304</v>
      </c>
      <c r="C458" t="str">
        <f t="shared" si="23"/>
        <v>FFDFD3C0</v>
      </c>
      <c r="D458" t="s">
        <v>120</v>
      </c>
      <c r="E458">
        <v>12</v>
      </c>
      <c r="F458">
        <v>1012</v>
      </c>
      <c r="G458" t="s">
        <v>114</v>
      </c>
      <c r="J458" t="s">
        <v>121</v>
      </c>
      <c r="K458">
        <v>0</v>
      </c>
      <c r="L458">
        <v>3</v>
      </c>
      <c r="M458">
        <v>0</v>
      </c>
      <c r="N458">
        <v>2</v>
      </c>
      <c r="O458">
        <v>1</v>
      </c>
      <c r="P458">
        <v>0</v>
      </c>
      <c r="Q458">
        <v>0</v>
      </c>
      <c r="S458" t="str">
        <f>"13:54:17.102"</f>
        <v>13:54:17.102</v>
      </c>
      <c r="T458" t="str">
        <f>"13:54:16.702"</f>
        <v>13:54:16.702</v>
      </c>
      <c r="U458" t="str">
        <f t="shared" si="25"/>
        <v>A92BC1</v>
      </c>
      <c r="V458">
        <v>0</v>
      </c>
      <c r="W458">
        <v>0</v>
      </c>
      <c r="X458">
        <v>2</v>
      </c>
      <c r="Z458">
        <v>0</v>
      </c>
      <c r="AA458">
        <v>9</v>
      </c>
      <c r="AB458">
        <v>3</v>
      </c>
      <c r="AC458">
        <v>0</v>
      </c>
      <c r="AD458">
        <v>10</v>
      </c>
      <c r="AE458">
        <v>0</v>
      </c>
      <c r="AF458">
        <v>3</v>
      </c>
      <c r="AG458">
        <v>2</v>
      </c>
      <c r="AH458">
        <v>0</v>
      </c>
      <c r="AI458" t="s">
        <v>558</v>
      </c>
      <c r="AJ458">
        <v>45.736041</v>
      </c>
      <c r="AK458" t="s">
        <v>559</v>
      </c>
      <c r="AL458">
        <v>-89.370282000000003</v>
      </c>
      <c r="AM458">
        <v>100</v>
      </c>
      <c r="AN458">
        <v>9200</v>
      </c>
      <c r="AO458" t="s">
        <v>118</v>
      </c>
      <c r="AP458">
        <v>127</v>
      </c>
      <c r="AQ458">
        <v>112</v>
      </c>
      <c r="AR458">
        <v>2048</v>
      </c>
      <c r="AZ458">
        <v>1200</v>
      </c>
      <c r="BA458">
        <v>1</v>
      </c>
      <c r="BB458" t="str">
        <f t="shared" si="24"/>
        <v xml:space="preserve">N690LS  </v>
      </c>
      <c r="BC458">
        <v>1</v>
      </c>
      <c r="BE458">
        <v>0</v>
      </c>
      <c r="BF458">
        <v>0</v>
      </c>
      <c r="BG458">
        <v>0</v>
      </c>
      <c r="BH458">
        <v>9500</v>
      </c>
      <c r="BI458">
        <v>1</v>
      </c>
      <c r="BJ458">
        <v>1</v>
      </c>
      <c r="BK458">
        <v>1</v>
      </c>
      <c r="BL458">
        <v>0</v>
      </c>
      <c r="BO458">
        <v>0</v>
      </c>
      <c r="BP458">
        <v>0</v>
      </c>
      <c r="BW458" t="str">
        <f>"13:54:17.102"</f>
        <v>13:54:17.102</v>
      </c>
      <c r="CJ458">
        <v>0</v>
      </c>
      <c r="CK458">
        <v>2</v>
      </c>
      <c r="CL458">
        <v>0</v>
      </c>
      <c r="CM458">
        <v>2</v>
      </c>
      <c r="CN458">
        <v>0</v>
      </c>
      <c r="CO458">
        <v>6</v>
      </c>
      <c r="CP458" t="s">
        <v>119</v>
      </c>
      <c r="CQ458">
        <v>209</v>
      </c>
      <c r="CR458">
        <v>2</v>
      </c>
      <c r="CW458">
        <v>11680712</v>
      </c>
      <c r="CY458">
        <v>1</v>
      </c>
      <c r="CZ458">
        <v>0</v>
      </c>
      <c r="DA458">
        <v>1</v>
      </c>
      <c r="DB458">
        <v>0</v>
      </c>
      <c r="DC458">
        <v>0</v>
      </c>
      <c r="DD458">
        <v>0</v>
      </c>
      <c r="DE458">
        <v>0</v>
      </c>
      <c r="DF458">
        <v>0</v>
      </c>
      <c r="DG458">
        <v>0</v>
      </c>
      <c r="DH458">
        <v>0</v>
      </c>
      <c r="DI458">
        <v>0</v>
      </c>
    </row>
    <row r="459" spans="1:113" x14ac:dyDescent="0.3">
      <c r="A459" t="str">
        <f>"09/28/2021 13:54:18.351"</f>
        <v>09/28/2021 13:54:18.351</v>
      </c>
      <c r="C459" t="str">
        <f t="shared" si="23"/>
        <v>FFDFD3C0</v>
      </c>
      <c r="D459" t="s">
        <v>120</v>
      </c>
      <c r="E459">
        <v>12</v>
      </c>
      <c r="F459">
        <v>1012</v>
      </c>
      <c r="G459" t="s">
        <v>114</v>
      </c>
      <c r="J459" t="s">
        <v>121</v>
      </c>
      <c r="K459">
        <v>0</v>
      </c>
      <c r="L459">
        <v>3</v>
      </c>
      <c r="M459">
        <v>0</v>
      </c>
      <c r="N459">
        <v>2</v>
      </c>
      <c r="O459">
        <v>1</v>
      </c>
      <c r="P459">
        <v>0</v>
      </c>
      <c r="Q459">
        <v>0</v>
      </c>
      <c r="S459" t="str">
        <f>"13:54:18.125"</f>
        <v>13:54:18.125</v>
      </c>
      <c r="T459" t="str">
        <f>"13:54:17.625"</f>
        <v>13:54:17.625</v>
      </c>
      <c r="U459" t="str">
        <f t="shared" si="25"/>
        <v>A92BC1</v>
      </c>
      <c r="V459">
        <v>0</v>
      </c>
      <c r="W459">
        <v>0</v>
      </c>
      <c r="X459">
        <v>2</v>
      </c>
      <c r="Z459">
        <v>0</v>
      </c>
      <c r="AA459">
        <v>9</v>
      </c>
      <c r="AB459">
        <v>3</v>
      </c>
      <c r="AC459">
        <v>0</v>
      </c>
      <c r="AD459">
        <v>10</v>
      </c>
      <c r="AE459">
        <v>0</v>
      </c>
      <c r="AF459">
        <v>3</v>
      </c>
      <c r="AG459">
        <v>2</v>
      </c>
      <c r="AH459">
        <v>0</v>
      </c>
      <c r="AI459" t="s">
        <v>560</v>
      </c>
      <c r="AJ459">
        <v>45.736578000000002</v>
      </c>
      <c r="AK459" t="s">
        <v>561</v>
      </c>
      <c r="AL459">
        <v>-89.369359000000003</v>
      </c>
      <c r="AM459">
        <v>100</v>
      </c>
      <c r="AN459">
        <v>9300</v>
      </c>
      <c r="AO459" t="s">
        <v>118</v>
      </c>
      <c r="AP459">
        <v>127</v>
      </c>
      <c r="AQ459">
        <v>112</v>
      </c>
      <c r="AR459">
        <v>2048</v>
      </c>
      <c r="AZ459">
        <v>1200</v>
      </c>
      <c r="BA459">
        <v>1</v>
      </c>
      <c r="BB459" t="str">
        <f t="shared" si="24"/>
        <v xml:space="preserve">N690LS  </v>
      </c>
      <c r="BC459">
        <v>1</v>
      </c>
      <c r="BE459">
        <v>0</v>
      </c>
      <c r="BF459">
        <v>0</v>
      </c>
      <c r="BG459">
        <v>0</v>
      </c>
      <c r="BH459">
        <v>9525</v>
      </c>
      <c r="BI459">
        <v>1</v>
      </c>
      <c r="BJ459">
        <v>1</v>
      </c>
      <c r="BK459">
        <v>1</v>
      </c>
      <c r="BL459">
        <v>0</v>
      </c>
      <c r="BO459">
        <v>0</v>
      </c>
      <c r="BP459">
        <v>0</v>
      </c>
      <c r="BW459" t="str">
        <f>"13:54:18.130"</f>
        <v>13:54:18.130</v>
      </c>
      <c r="CJ459">
        <v>0</v>
      </c>
      <c r="CK459">
        <v>2</v>
      </c>
      <c r="CL459">
        <v>0</v>
      </c>
      <c r="CM459">
        <v>2</v>
      </c>
      <c r="CN459">
        <v>0</v>
      </c>
      <c r="CO459">
        <v>6</v>
      </c>
      <c r="CP459" t="s">
        <v>119</v>
      </c>
      <c r="CQ459">
        <v>209</v>
      </c>
      <c r="CR459">
        <v>3</v>
      </c>
      <c r="CW459">
        <v>7181536</v>
      </c>
      <c r="CY459">
        <v>1</v>
      </c>
      <c r="CZ459">
        <v>0</v>
      </c>
      <c r="DA459">
        <v>0</v>
      </c>
      <c r="DB459">
        <v>0</v>
      </c>
      <c r="DC459">
        <v>0</v>
      </c>
      <c r="DD459">
        <v>0</v>
      </c>
      <c r="DE459">
        <v>0</v>
      </c>
      <c r="DF459">
        <v>0</v>
      </c>
      <c r="DG459">
        <v>0</v>
      </c>
      <c r="DH459">
        <v>0</v>
      </c>
      <c r="DI459">
        <v>0</v>
      </c>
    </row>
    <row r="460" spans="1:113" x14ac:dyDescent="0.3">
      <c r="A460" t="str">
        <f>"09/28/2021 13:54:18.351"</f>
        <v>09/28/2021 13:54:18.351</v>
      </c>
      <c r="C460" t="str">
        <f t="shared" si="23"/>
        <v>FFDFD3C0</v>
      </c>
      <c r="D460" t="s">
        <v>113</v>
      </c>
      <c r="E460">
        <v>7</v>
      </c>
      <c r="H460">
        <v>170</v>
      </c>
      <c r="I460" t="s">
        <v>114</v>
      </c>
      <c r="J460" t="s">
        <v>115</v>
      </c>
      <c r="K460">
        <v>0</v>
      </c>
      <c r="L460">
        <v>3</v>
      </c>
      <c r="M460">
        <v>0</v>
      </c>
      <c r="N460">
        <v>2</v>
      </c>
      <c r="O460">
        <v>1</v>
      </c>
      <c r="P460">
        <v>0</v>
      </c>
      <c r="Q460">
        <v>0</v>
      </c>
      <c r="S460" t="str">
        <f>"13:54:18.125"</f>
        <v>13:54:18.125</v>
      </c>
      <c r="T460" t="str">
        <f>"13:54:17.625"</f>
        <v>13:54:17.625</v>
      </c>
      <c r="U460" t="str">
        <f t="shared" si="25"/>
        <v>A92BC1</v>
      </c>
      <c r="V460">
        <v>0</v>
      </c>
      <c r="W460">
        <v>0</v>
      </c>
      <c r="X460">
        <v>2</v>
      </c>
      <c r="Z460">
        <v>0</v>
      </c>
      <c r="AA460">
        <v>9</v>
      </c>
      <c r="AB460">
        <v>3</v>
      </c>
      <c r="AC460">
        <v>0</v>
      </c>
      <c r="AD460">
        <v>10</v>
      </c>
      <c r="AE460">
        <v>0</v>
      </c>
      <c r="AF460">
        <v>3</v>
      </c>
      <c r="AG460">
        <v>2</v>
      </c>
      <c r="AH460">
        <v>0</v>
      </c>
      <c r="AI460" t="s">
        <v>560</v>
      </c>
      <c r="AJ460">
        <v>45.736578000000002</v>
      </c>
      <c r="AK460" t="s">
        <v>561</v>
      </c>
      <c r="AL460">
        <v>-89.369359000000003</v>
      </c>
      <c r="AM460">
        <v>100</v>
      </c>
      <c r="AN460">
        <v>9300</v>
      </c>
      <c r="AO460" t="s">
        <v>118</v>
      </c>
      <c r="AP460">
        <v>127</v>
      </c>
      <c r="AQ460">
        <v>112</v>
      </c>
      <c r="AR460">
        <v>2048</v>
      </c>
      <c r="AZ460">
        <v>1200</v>
      </c>
      <c r="BA460">
        <v>1</v>
      </c>
      <c r="BB460" t="str">
        <f t="shared" si="24"/>
        <v xml:space="preserve">N690LS  </v>
      </c>
      <c r="BC460">
        <v>1</v>
      </c>
      <c r="BE460">
        <v>0</v>
      </c>
      <c r="BF460">
        <v>0</v>
      </c>
      <c r="BG460">
        <v>0</v>
      </c>
      <c r="BH460">
        <v>9525</v>
      </c>
      <c r="BI460">
        <v>1</v>
      </c>
      <c r="BJ460">
        <v>1</v>
      </c>
      <c r="BK460">
        <v>1</v>
      </c>
      <c r="BL460">
        <v>0</v>
      </c>
      <c r="BO460">
        <v>0</v>
      </c>
      <c r="BP460">
        <v>0</v>
      </c>
      <c r="BW460" t="str">
        <f>"13:54:18.130"</f>
        <v>13:54:18.130</v>
      </c>
      <c r="CJ460">
        <v>0</v>
      </c>
      <c r="CK460">
        <v>2</v>
      </c>
      <c r="CL460">
        <v>0</v>
      </c>
      <c r="CM460">
        <v>2</v>
      </c>
      <c r="CN460">
        <v>0</v>
      </c>
      <c r="CO460">
        <v>6</v>
      </c>
      <c r="CP460" t="s">
        <v>119</v>
      </c>
      <c r="CQ460">
        <v>209</v>
      </c>
      <c r="CR460">
        <v>3</v>
      </c>
      <c r="CW460">
        <v>7181536</v>
      </c>
      <c r="CY460">
        <v>1</v>
      </c>
      <c r="CZ460">
        <v>0</v>
      </c>
      <c r="DA460">
        <v>1</v>
      </c>
      <c r="DB460">
        <v>0</v>
      </c>
      <c r="DC460">
        <v>0</v>
      </c>
      <c r="DD460">
        <v>0</v>
      </c>
      <c r="DE460">
        <v>0</v>
      </c>
      <c r="DF460">
        <v>0</v>
      </c>
      <c r="DG460">
        <v>0</v>
      </c>
      <c r="DH460">
        <v>0</v>
      </c>
      <c r="DI460">
        <v>0</v>
      </c>
    </row>
    <row r="461" spans="1:113" x14ac:dyDescent="0.3">
      <c r="A461" t="str">
        <f>"09/28/2021 13:54:19.321"</f>
        <v>09/28/2021 13:54:19.321</v>
      </c>
      <c r="C461" t="str">
        <f t="shared" si="23"/>
        <v>FFDFD3C0</v>
      </c>
      <c r="D461" t="s">
        <v>120</v>
      </c>
      <c r="E461">
        <v>12</v>
      </c>
      <c r="F461">
        <v>1012</v>
      </c>
      <c r="G461" t="s">
        <v>114</v>
      </c>
      <c r="J461" t="s">
        <v>121</v>
      </c>
      <c r="K461">
        <v>0</v>
      </c>
      <c r="L461">
        <v>3</v>
      </c>
      <c r="M461">
        <v>0</v>
      </c>
      <c r="N461">
        <v>2</v>
      </c>
      <c r="O461">
        <v>1</v>
      </c>
      <c r="P461">
        <v>0</v>
      </c>
      <c r="Q461">
        <v>0</v>
      </c>
      <c r="S461" t="str">
        <f>"13:54:19.117"</f>
        <v>13:54:19.117</v>
      </c>
      <c r="T461" t="str">
        <f>"13:54:18.617"</f>
        <v>13:54:18.617</v>
      </c>
      <c r="U461" t="str">
        <f t="shared" si="25"/>
        <v>A92BC1</v>
      </c>
      <c r="V461">
        <v>0</v>
      </c>
      <c r="W461">
        <v>0</v>
      </c>
      <c r="X461">
        <v>2</v>
      </c>
      <c r="Z461">
        <v>0</v>
      </c>
      <c r="AA461">
        <v>9</v>
      </c>
      <c r="AB461">
        <v>3</v>
      </c>
      <c r="AC461">
        <v>0</v>
      </c>
      <c r="AD461">
        <v>10</v>
      </c>
      <c r="AE461">
        <v>0</v>
      </c>
      <c r="AF461">
        <v>3</v>
      </c>
      <c r="AG461">
        <v>2</v>
      </c>
      <c r="AH461">
        <v>0</v>
      </c>
      <c r="AI461" t="s">
        <v>562</v>
      </c>
      <c r="AJ461">
        <v>45.737071</v>
      </c>
      <c r="AK461" t="s">
        <v>563</v>
      </c>
      <c r="AL461">
        <v>-89.368565000000004</v>
      </c>
      <c r="AM461">
        <v>100</v>
      </c>
      <c r="AN461">
        <v>9300</v>
      </c>
      <c r="AO461" t="s">
        <v>118</v>
      </c>
      <c r="AP461">
        <v>126</v>
      </c>
      <c r="AQ461">
        <v>112</v>
      </c>
      <c r="AR461">
        <v>2048</v>
      </c>
      <c r="AZ461">
        <v>1200</v>
      </c>
      <c r="BA461">
        <v>1</v>
      </c>
      <c r="BB461" t="str">
        <f t="shared" si="24"/>
        <v xml:space="preserve">N690LS  </v>
      </c>
      <c r="BC461">
        <v>1</v>
      </c>
      <c r="BE461">
        <v>0</v>
      </c>
      <c r="BF461">
        <v>0</v>
      </c>
      <c r="BG461">
        <v>0</v>
      </c>
      <c r="BH461">
        <v>9550</v>
      </c>
      <c r="BI461">
        <v>1</v>
      </c>
      <c r="BJ461">
        <v>1</v>
      </c>
      <c r="BK461">
        <v>1</v>
      </c>
      <c r="BL461">
        <v>0</v>
      </c>
      <c r="BO461">
        <v>0</v>
      </c>
      <c r="BP461">
        <v>0</v>
      </c>
      <c r="BW461" t="str">
        <f>"13:54:19.119"</f>
        <v>13:54:19.119</v>
      </c>
      <c r="CJ461">
        <v>0</v>
      </c>
      <c r="CK461">
        <v>2</v>
      </c>
      <c r="CL461">
        <v>0</v>
      </c>
      <c r="CM461">
        <v>2</v>
      </c>
      <c r="CN461">
        <v>0</v>
      </c>
      <c r="CO461">
        <v>7</v>
      </c>
      <c r="CP461" t="s">
        <v>119</v>
      </c>
      <c r="CQ461">
        <v>197</v>
      </c>
      <c r="CR461">
        <v>1</v>
      </c>
      <c r="CW461">
        <v>7210990</v>
      </c>
      <c r="CY461">
        <v>1</v>
      </c>
      <c r="CZ461">
        <v>0</v>
      </c>
      <c r="DA461">
        <v>0</v>
      </c>
      <c r="DB461">
        <v>0</v>
      </c>
      <c r="DC461">
        <v>0</v>
      </c>
      <c r="DD461">
        <v>0</v>
      </c>
      <c r="DE461">
        <v>0</v>
      </c>
      <c r="DF461">
        <v>0</v>
      </c>
      <c r="DG461">
        <v>0</v>
      </c>
      <c r="DH461">
        <v>0</v>
      </c>
      <c r="DI461">
        <v>0</v>
      </c>
    </row>
    <row r="462" spans="1:113" x14ac:dyDescent="0.3">
      <c r="A462" t="str">
        <f>"09/28/2021 13:54:19.367"</f>
        <v>09/28/2021 13:54:19.367</v>
      </c>
      <c r="C462" t="str">
        <f t="shared" si="23"/>
        <v>FFDFD3C0</v>
      </c>
      <c r="D462" t="s">
        <v>113</v>
      </c>
      <c r="E462">
        <v>7</v>
      </c>
      <c r="H462">
        <v>170</v>
      </c>
      <c r="I462" t="s">
        <v>114</v>
      </c>
      <c r="J462" t="s">
        <v>115</v>
      </c>
      <c r="K462">
        <v>0</v>
      </c>
      <c r="L462">
        <v>3</v>
      </c>
      <c r="M462">
        <v>0</v>
      </c>
      <c r="N462">
        <v>2</v>
      </c>
      <c r="O462">
        <v>1</v>
      </c>
      <c r="P462">
        <v>0</v>
      </c>
      <c r="Q462">
        <v>0</v>
      </c>
      <c r="S462" t="str">
        <f>"13:54:19.117"</f>
        <v>13:54:19.117</v>
      </c>
      <c r="T462" t="str">
        <f>"13:54:18.617"</f>
        <v>13:54:18.617</v>
      </c>
      <c r="U462" t="str">
        <f t="shared" si="25"/>
        <v>A92BC1</v>
      </c>
      <c r="V462">
        <v>0</v>
      </c>
      <c r="W462">
        <v>0</v>
      </c>
      <c r="X462">
        <v>2</v>
      </c>
      <c r="Z462">
        <v>0</v>
      </c>
      <c r="AA462">
        <v>9</v>
      </c>
      <c r="AB462">
        <v>3</v>
      </c>
      <c r="AC462">
        <v>0</v>
      </c>
      <c r="AD462">
        <v>10</v>
      </c>
      <c r="AE462">
        <v>0</v>
      </c>
      <c r="AF462">
        <v>3</v>
      </c>
      <c r="AG462">
        <v>2</v>
      </c>
      <c r="AH462">
        <v>0</v>
      </c>
      <c r="AI462" t="s">
        <v>562</v>
      </c>
      <c r="AJ462">
        <v>45.737071</v>
      </c>
      <c r="AK462" t="s">
        <v>563</v>
      </c>
      <c r="AL462">
        <v>-89.368565000000004</v>
      </c>
      <c r="AM462">
        <v>100</v>
      </c>
      <c r="AN462">
        <v>9300</v>
      </c>
      <c r="AO462" t="s">
        <v>118</v>
      </c>
      <c r="AP462">
        <v>126</v>
      </c>
      <c r="AQ462">
        <v>112</v>
      </c>
      <c r="AR462">
        <v>2048</v>
      </c>
      <c r="AZ462">
        <v>1200</v>
      </c>
      <c r="BA462">
        <v>1</v>
      </c>
      <c r="BB462" t="str">
        <f t="shared" si="24"/>
        <v xml:space="preserve">N690LS  </v>
      </c>
      <c r="BC462">
        <v>1</v>
      </c>
      <c r="BE462">
        <v>0</v>
      </c>
      <c r="BF462">
        <v>0</v>
      </c>
      <c r="BG462">
        <v>0</v>
      </c>
      <c r="BH462">
        <v>9550</v>
      </c>
      <c r="BI462">
        <v>1</v>
      </c>
      <c r="BJ462">
        <v>1</v>
      </c>
      <c r="BK462">
        <v>1</v>
      </c>
      <c r="BL462">
        <v>0</v>
      </c>
      <c r="BO462">
        <v>0</v>
      </c>
      <c r="BP462">
        <v>0</v>
      </c>
      <c r="BW462" t="str">
        <f>"13:54:19.119"</f>
        <v>13:54:19.119</v>
      </c>
      <c r="CJ462">
        <v>0</v>
      </c>
      <c r="CK462">
        <v>2</v>
      </c>
      <c r="CL462">
        <v>0</v>
      </c>
      <c r="CM462">
        <v>2</v>
      </c>
      <c r="CN462">
        <v>0</v>
      </c>
      <c r="CO462">
        <v>7</v>
      </c>
      <c r="CP462" t="s">
        <v>119</v>
      </c>
      <c r="CQ462">
        <v>197</v>
      </c>
      <c r="CR462">
        <v>1</v>
      </c>
      <c r="CW462">
        <v>7210990</v>
      </c>
      <c r="CY462">
        <v>1</v>
      </c>
      <c r="CZ462">
        <v>0</v>
      </c>
      <c r="DA462">
        <v>1</v>
      </c>
      <c r="DB462">
        <v>0</v>
      </c>
      <c r="DC462">
        <v>0</v>
      </c>
      <c r="DD462">
        <v>0</v>
      </c>
      <c r="DE462">
        <v>0</v>
      </c>
      <c r="DF462">
        <v>0</v>
      </c>
      <c r="DG462">
        <v>0</v>
      </c>
      <c r="DH462">
        <v>0</v>
      </c>
      <c r="DI462">
        <v>0</v>
      </c>
    </row>
    <row r="463" spans="1:113" x14ac:dyDescent="0.3">
      <c r="A463" t="str">
        <f>"09/28/2021 13:54:20.461"</f>
        <v>09/28/2021 13:54:20.461</v>
      </c>
      <c r="C463" t="str">
        <f t="shared" si="23"/>
        <v>FFDFD3C0</v>
      </c>
      <c r="D463" t="s">
        <v>120</v>
      </c>
      <c r="E463">
        <v>12</v>
      </c>
      <c r="F463">
        <v>1012</v>
      </c>
      <c r="G463" t="s">
        <v>114</v>
      </c>
      <c r="J463" t="s">
        <v>121</v>
      </c>
      <c r="K463">
        <v>0</v>
      </c>
      <c r="L463">
        <v>3</v>
      </c>
      <c r="M463">
        <v>0</v>
      </c>
      <c r="N463">
        <v>2</v>
      </c>
      <c r="O463">
        <v>1</v>
      </c>
      <c r="P463">
        <v>0</v>
      </c>
      <c r="Q463">
        <v>0</v>
      </c>
      <c r="S463" t="str">
        <f>"13:54:20.227"</f>
        <v>13:54:20.227</v>
      </c>
      <c r="T463" t="str">
        <f>"13:54:19.727"</f>
        <v>13:54:19.727</v>
      </c>
      <c r="U463" t="str">
        <f t="shared" si="25"/>
        <v>A92BC1</v>
      </c>
      <c r="V463">
        <v>0</v>
      </c>
      <c r="W463">
        <v>0</v>
      </c>
      <c r="X463">
        <v>2</v>
      </c>
      <c r="Z463">
        <v>0</v>
      </c>
      <c r="AA463">
        <v>9</v>
      </c>
      <c r="AB463">
        <v>3</v>
      </c>
      <c r="AC463">
        <v>0</v>
      </c>
      <c r="AD463">
        <v>10</v>
      </c>
      <c r="AE463">
        <v>0</v>
      </c>
      <c r="AF463">
        <v>3</v>
      </c>
      <c r="AG463">
        <v>2</v>
      </c>
      <c r="AH463">
        <v>0</v>
      </c>
      <c r="AI463" t="s">
        <v>564</v>
      </c>
      <c r="AJ463">
        <v>45.737715000000001</v>
      </c>
      <c r="AK463" t="s">
        <v>565</v>
      </c>
      <c r="AL463">
        <v>-89.367598999999998</v>
      </c>
      <c r="AM463">
        <v>100</v>
      </c>
      <c r="AN463">
        <v>9300</v>
      </c>
      <c r="AO463" t="s">
        <v>118</v>
      </c>
      <c r="AP463">
        <v>126</v>
      </c>
      <c r="AQ463">
        <v>113</v>
      </c>
      <c r="AR463">
        <v>2048</v>
      </c>
      <c r="AZ463">
        <v>1200</v>
      </c>
      <c r="BA463">
        <v>1</v>
      </c>
      <c r="BB463" t="str">
        <f t="shared" si="24"/>
        <v xml:space="preserve">N690LS  </v>
      </c>
      <c r="BC463">
        <v>1</v>
      </c>
      <c r="BE463">
        <v>0</v>
      </c>
      <c r="BF463">
        <v>0</v>
      </c>
      <c r="BG463">
        <v>0</v>
      </c>
      <c r="BH463">
        <v>9600</v>
      </c>
      <c r="BI463">
        <v>1</v>
      </c>
      <c r="BJ463">
        <v>1</v>
      </c>
      <c r="BK463">
        <v>1</v>
      </c>
      <c r="BL463">
        <v>0</v>
      </c>
      <c r="BO463">
        <v>0</v>
      </c>
      <c r="BP463">
        <v>0</v>
      </c>
      <c r="BW463" t="str">
        <f>"13:54:20.230"</f>
        <v>13:54:20.230</v>
      </c>
      <c r="CJ463">
        <v>0</v>
      </c>
      <c r="CK463">
        <v>2</v>
      </c>
      <c r="CL463">
        <v>0</v>
      </c>
      <c r="CM463">
        <v>2</v>
      </c>
      <c r="CN463">
        <v>0</v>
      </c>
      <c r="CO463">
        <v>7</v>
      </c>
      <c r="CP463" t="s">
        <v>119</v>
      </c>
      <c r="CQ463">
        <v>197</v>
      </c>
      <c r="CR463">
        <v>2</v>
      </c>
      <c r="CW463">
        <v>2295251</v>
      </c>
      <c r="CY463">
        <v>1</v>
      </c>
      <c r="CZ463">
        <v>0</v>
      </c>
      <c r="DA463">
        <v>0</v>
      </c>
      <c r="DB463">
        <v>0</v>
      </c>
      <c r="DC463">
        <v>0</v>
      </c>
      <c r="DD463">
        <v>0</v>
      </c>
      <c r="DE463">
        <v>0</v>
      </c>
      <c r="DF463">
        <v>0</v>
      </c>
      <c r="DG463">
        <v>0</v>
      </c>
      <c r="DH463">
        <v>0</v>
      </c>
      <c r="DI463">
        <v>0</v>
      </c>
    </row>
    <row r="464" spans="1:113" x14ac:dyDescent="0.3">
      <c r="A464" t="str">
        <f>"09/28/2021 13:54:20.461"</f>
        <v>09/28/2021 13:54:20.461</v>
      </c>
      <c r="C464" t="str">
        <f t="shared" si="23"/>
        <v>FFDFD3C0</v>
      </c>
      <c r="D464" t="s">
        <v>113</v>
      </c>
      <c r="E464">
        <v>7</v>
      </c>
      <c r="H464">
        <v>170</v>
      </c>
      <c r="I464" t="s">
        <v>114</v>
      </c>
      <c r="J464" t="s">
        <v>115</v>
      </c>
      <c r="K464">
        <v>0</v>
      </c>
      <c r="L464">
        <v>3</v>
      </c>
      <c r="M464">
        <v>0</v>
      </c>
      <c r="N464">
        <v>2</v>
      </c>
      <c r="O464">
        <v>1</v>
      </c>
      <c r="P464">
        <v>0</v>
      </c>
      <c r="Q464">
        <v>0</v>
      </c>
      <c r="S464" t="str">
        <f>"13:54:20.227"</f>
        <v>13:54:20.227</v>
      </c>
      <c r="T464" t="str">
        <f>"13:54:19.727"</f>
        <v>13:54:19.727</v>
      </c>
      <c r="U464" t="str">
        <f t="shared" si="25"/>
        <v>A92BC1</v>
      </c>
      <c r="V464">
        <v>0</v>
      </c>
      <c r="W464">
        <v>0</v>
      </c>
      <c r="X464">
        <v>2</v>
      </c>
      <c r="Z464">
        <v>0</v>
      </c>
      <c r="AA464">
        <v>9</v>
      </c>
      <c r="AB464">
        <v>3</v>
      </c>
      <c r="AC464">
        <v>0</v>
      </c>
      <c r="AD464">
        <v>10</v>
      </c>
      <c r="AE464">
        <v>0</v>
      </c>
      <c r="AF464">
        <v>3</v>
      </c>
      <c r="AG464">
        <v>2</v>
      </c>
      <c r="AH464">
        <v>0</v>
      </c>
      <c r="AI464" t="s">
        <v>564</v>
      </c>
      <c r="AJ464">
        <v>45.737715000000001</v>
      </c>
      <c r="AK464" t="s">
        <v>565</v>
      </c>
      <c r="AL464">
        <v>-89.367598999999998</v>
      </c>
      <c r="AM464">
        <v>100</v>
      </c>
      <c r="AN464">
        <v>9300</v>
      </c>
      <c r="AO464" t="s">
        <v>118</v>
      </c>
      <c r="AP464">
        <v>126</v>
      </c>
      <c r="AQ464">
        <v>113</v>
      </c>
      <c r="AR464">
        <v>2048</v>
      </c>
      <c r="AZ464">
        <v>1200</v>
      </c>
      <c r="BA464">
        <v>1</v>
      </c>
      <c r="BB464" t="str">
        <f t="shared" si="24"/>
        <v xml:space="preserve">N690LS  </v>
      </c>
      <c r="BC464">
        <v>1</v>
      </c>
      <c r="BE464">
        <v>0</v>
      </c>
      <c r="BF464">
        <v>0</v>
      </c>
      <c r="BG464">
        <v>0</v>
      </c>
      <c r="BH464">
        <v>9600</v>
      </c>
      <c r="BI464">
        <v>1</v>
      </c>
      <c r="BJ464">
        <v>1</v>
      </c>
      <c r="BK464">
        <v>1</v>
      </c>
      <c r="BL464">
        <v>0</v>
      </c>
      <c r="BO464">
        <v>0</v>
      </c>
      <c r="BP464">
        <v>0</v>
      </c>
      <c r="BW464" t="str">
        <f>"13:54:20.230"</f>
        <v>13:54:20.230</v>
      </c>
      <c r="CJ464">
        <v>0</v>
      </c>
      <c r="CK464">
        <v>2</v>
      </c>
      <c r="CL464">
        <v>0</v>
      </c>
      <c r="CM464">
        <v>2</v>
      </c>
      <c r="CN464">
        <v>0</v>
      </c>
      <c r="CO464">
        <v>7</v>
      </c>
      <c r="CP464" t="s">
        <v>119</v>
      </c>
      <c r="CQ464">
        <v>197</v>
      </c>
      <c r="CR464">
        <v>2</v>
      </c>
      <c r="CW464">
        <v>2295251</v>
      </c>
      <c r="CY464">
        <v>1</v>
      </c>
      <c r="CZ464">
        <v>0</v>
      </c>
      <c r="DA464">
        <v>1</v>
      </c>
      <c r="DB464">
        <v>0</v>
      </c>
      <c r="DC464">
        <v>0</v>
      </c>
      <c r="DD464">
        <v>0</v>
      </c>
      <c r="DE464">
        <v>0</v>
      </c>
      <c r="DF464">
        <v>0</v>
      </c>
      <c r="DG464">
        <v>0</v>
      </c>
      <c r="DH464">
        <v>0</v>
      </c>
      <c r="DI464">
        <v>0</v>
      </c>
    </row>
    <row r="465" spans="1:113" x14ac:dyDescent="0.3">
      <c r="A465" t="str">
        <f>"09/28/2021 13:54:21.289"</f>
        <v>09/28/2021 13:54:21.289</v>
      </c>
      <c r="C465" t="str">
        <f t="shared" si="23"/>
        <v>FFDFD3C0</v>
      </c>
      <c r="D465" t="s">
        <v>120</v>
      </c>
      <c r="E465">
        <v>12</v>
      </c>
      <c r="F465">
        <v>1012</v>
      </c>
      <c r="G465" t="s">
        <v>114</v>
      </c>
      <c r="J465" t="s">
        <v>121</v>
      </c>
      <c r="K465">
        <v>0</v>
      </c>
      <c r="L465">
        <v>3</v>
      </c>
      <c r="M465">
        <v>0</v>
      </c>
      <c r="N465">
        <v>2</v>
      </c>
      <c r="O465">
        <v>1</v>
      </c>
      <c r="P465">
        <v>0</v>
      </c>
      <c r="Q465">
        <v>0</v>
      </c>
      <c r="S465" t="str">
        <f>"13:54:21.117"</f>
        <v>13:54:21.117</v>
      </c>
      <c r="T465" t="str">
        <f>"13:54:20.717"</f>
        <v>13:54:20.717</v>
      </c>
      <c r="U465" t="str">
        <f t="shared" si="25"/>
        <v>A92BC1</v>
      </c>
      <c r="V465">
        <v>0</v>
      </c>
      <c r="W465">
        <v>0</v>
      </c>
      <c r="X465">
        <v>2</v>
      </c>
      <c r="Z465">
        <v>0</v>
      </c>
      <c r="AA465">
        <v>9</v>
      </c>
      <c r="AB465">
        <v>3</v>
      </c>
      <c r="AC465">
        <v>0</v>
      </c>
      <c r="AD465">
        <v>10</v>
      </c>
      <c r="AE465">
        <v>0</v>
      </c>
      <c r="AF465">
        <v>3</v>
      </c>
      <c r="AG465">
        <v>2</v>
      </c>
      <c r="AH465">
        <v>0</v>
      </c>
      <c r="AI465" t="s">
        <v>566</v>
      </c>
      <c r="AJ465">
        <v>45.738121999999997</v>
      </c>
      <c r="AK465" t="s">
        <v>567</v>
      </c>
      <c r="AL465">
        <v>-89.366912999999997</v>
      </c>
      <c r="AM465">
        <v>100</v>
      </c>
      <c r="AN465">
        <v>9400</v>
      </c>
      <c r="AO465" t="s">
        <v>118</v>
      </c>
      <c r="AP465">
        <v>126</v>
      </c>
      <c r="AQ465">
        <v>113</v>
      </c>
      <c r="AR465">
        <v>2048</v>
      </c>
      <c r="AZ465">
        <v>1200</v>
      </c>
      <c r="BA465">
        <v>1</v>
      </c>
      <c r="BB465" t="str">
        <f t="shared" si="24"/>
        <v xml:space="preserve">N690LS  </v>
      </c>
      <c r="BC465">
        <v>1</v>
      </c>
      <c r="BE465">
        <v>0</v>
      </c>
      <c r="BF465">
        <v>0</v>
      </c>
      <c r="BG465">
        <v>0</v>
      </c>
      <c r="BH465">
        <v>9625</v>
      </c>
      <c r="BI465">
        <v>1</v>
      </c>
      <c r="BJ465">
        <v>1</v>
      </c>
      <c r="BK465">
        <v>1</v>
      </c>
      <c r="BL465">
        <v>0</v>
      </c>
      <c r="BO465">
        <v>0</v>
      </c>
      <c r="BP465">
        <v>0</v>
      </c>
      <c r="BW465" t="str">
        <f>"13:54:21.119"</f>
        <v>13:54:21.119</v>
      </c>
      <c r="CJ465">
        <v>0</v>
      </c>
      <c r="CK465">
        <v>2</v>
      </c>
      <c r="CL465">
        <v>0</v>
      </c>
      <c r="CM465">
        <v>2</v>
      </c>
      <c r="CN465">
        <v>0</v>
      </c>
      <c r="CO465">
        <v>7</v>
      </c>
      <c r="CP465" t="s">
        <v>119</v>
      </c>
      <c r="CQ465">
        <v>197</v>
      </c>
      <c r="CR465">
        <v>2</v>
      </c>
      <c r="CW465">
        <v>2296026</v>
      </c>
      <c r="CY465">
        <v>1</v>
      </c>
      <c r="CZ465">
        <v>0</v>
      </c>
      <c r="DA465">
        <v>0</v>
      </c>
      <c r="DB465">
        <v>0</v>
      </c>
      <c r="DC465">
        <v>0</v>
      </c>
      <c r="DD465">
        <v>0</v>
      </c>
      <c r="DE465">
        <v>0</v>
      </c>
      <c r="DF465">
        <v>0</v>
      </c>
      <c r="DG465">
        <v>0</v>
      </c>
      <c r="DH465">
        <v>0</v>
      </c>
      <c r="DI465">
        <v>0</v>
      </c>
    </row>
    <row r="466" spans="1:113" x14ac:dyDescent="0.3">
      <c r="A466" t="str">
        <f>"09/28/2021 13:54:21.321"</f>
        <v>09/28/2021 13:54:21.321</v>
      </c>
      <c r="C466" t="str">
        <f t="shared" si="23"/>
        <v>FFDFD3C0</v>
      </c>
      <c r="D466" t="s">
        <v>113</v>
      </c>
      <c r="E466">
        <v>7</v>
      </c>
      <c r="H466">
        <v>170</v>
      </c>
      <c r="I466" t="s">
        <v>114</v>
      </c>
      <c r="J466" t="s">
        <v>115</v>
      </c>
      <c r="K466">
        <v>0</v>
      </c>
      <c r="L466">
        <v>3</v>
      </c>
      <c r="M466">
        <v>0</v>
      </c>
      <c r="N466">
        <v>2</v>
      </c>
      <c r="O466">
        <v>1</v>
      </c>
      <c r="P466">
        <v>0</v>
      </c>
      <c r="Q466">
        <v>0</v>
      </c>
      <c r="S466" t="str">
        <f>"13:54:21.117"</f>
        <v>13:54:21.117</v>
      </c>
      <c r="T466" t="str">
        <f>"13:54:20.717"</f>
        <v>13:54:20.717</v>
      </c>
      <c r="U466" t="str">
        <f t="shared" si="25"/>
        <v>A92BC1</v>
      </c>
      <c r="V466">
        <v>0</v>
      </c>
      <c r="W466">
        <v>0</v>
      </c>
      <c r="X466">
        <v>2</v>
      </c>
      <c r="Z466">
        <v>0</v>
      </c>
      <c r="AA466">
        <v>9</v>
      </c>
      <c r="AB466">
        <v>3</v>
      </c>
      <c r="AC466">
        <v>0</v>
      </c>
      <c r="AD466">
        <v>10</v>
      </c>
      <c r="AE466">
        <v>0</v>
      </c>
      <c r="AF466">
        <v>3</v>
      </c>
      <c r="AG466">
        <v>2</v>
      </c>
      <c r="AH466">
        <v>0</v>
      </c>
      <c r="AI466" t="s">
        <v>566</v>
      </c>
      <c r="AJ466">
        <v>45.738121999999997</v>
      </c>
      <c r="AK466" t="s">
        <v>567</v>
      </c>
      <c r="AL466">
        <v>-89.366912999999997</v>
      </c>
      <c r="AM466">
        <v>100</v>
      </c>
      <c r="AN466">
        <v>9400</v>
      </c>
      <c r="AO466" t="s">
        <v>118</v>
      </c>
      <c r="AP466">
        <v>126</v>
      </c>
      <c r="AQ466">
        <v>113</v>
      </c>
      <c r="AR466">
        <v>2048</v>
      </c>
      <c r="AZ466">
        <v>1200</v>
      </c>
      <c r="BA466">
        <v>1</v>
      </c>
      <c r="BB466" t="str">
        <f t="shared" si="24"/>
        <v xml:space="preserve">N690LS  </v>
      </c>
      <c r="BC466">
        <v>1</v>
      </c>
      <c r="BE466">
        <v>0</v>
      </c>
      <c r="BF466">
        <v>0</v>
      </c>
      <c r="BG466">
        <v>0</v>
      </c>
      <c r="BH466">
        <v>9625</v>
      </c>
      <c r="BI466">
        <v>1</v>
      </c>
      <c r="BJ466">
        <v>1</v>
      </c>
      <c r="BK466">
        <v>1</v>
      </c>
      <c r="BL466">
        <v>0</v>
      </c>
      <c r="BO466">
        <v>0</v>
      </c>
      <c r="BP466">
        <v>0</v>
      </c>
      <c r="BW466" t="str">
        <f>"13:54:21.119"</f>
        <v>13:54:21.119</v>
      </c>
      <c r="CJ466">
        <v>0</v>
      </c>
      <c r="CK466">
        <v>2</v>
      </c>
      <c r="CL466">
        <v>0</v>
      </c>
      <c r="CM466">
        <v>2</v>
      </c>
      <c r="CN466">
        <v>0</v>
      </c>
      <c r="CO466">
        <v>7</v>
      </c>
      <c r="CP466" t="s">
        <v>119</v>
      </c>
      <c r="CQ466">
        <v>197</v>
      </c>
      <c r="CR466">
        <v>2</v>
      </c>
      <c r="CW466">
        <v>2296026</v>
      </c>
      <c r="CY466">
        <v>1</v>
      </c>
      <c r="CZ466">
        <v>0</v>
      </c>
      <c r="DA466">
        <v>1</v>
      </c>
      <c r="DB466">
        <v>0</v>
      </c>
      <c r="DC466">
        <v>0</v>
      </c>
      <c r="DD466">
        <v>0</v>
      </c>
      <c r="DE466">
        <v>0</v>
      </c>
      <c r="DF466">
        <v>0</v>
      </c>
      <c r="DG466">
        <v>0</v>
      </c>
      <c r="DH466">
        <v>0</v>
      </c>
      <c r="DI466">
        <v>0</v>
      </c>
    </row>
    <row r="467" spans="1:113" x14ac:dyDescent="0.3">
      <c r="A467" t="str">
        <f>"09/28/2021 13:54:22.385"</f>
        <v>09/28/2021 13:54:22.385</v>
      </c>
      <c r="C467" t="str">
        <f t="shared" si="23"/>
        <v>FFDFD3C0</v>
      </c>
      <c r="D467" t="s">
        <v>113</v>
      </c>
      <c r="E467">
        <v>7</v>
      </c>
      <c r="H467">
        <v>170</v>
      </c>
      <c r="I467" t="s">
        <v>114</v>
      </c>
      <c r="J467" t="s">
        <v>115</v>
      </c>
      <c r="K467">
        <v>0</v>
      </c>
      <c r="L467">
        <v>3</v>
      </c>
      <c r="M467">
        <v>0</v>
      </c>
      <c r="N467">
        <v>2</v>
      </c>
      <c r="O467">
        <v>1</v>
      </c>
      <c r="P467">
        <v>0</v>
      </c>
      <c r="Q467">
        <v>0</v>
      </c>
      <c r="S467" t="str">
        <f>"13:54:22.188"</f>
        <v>13:54:22.188</v>
      </c>
      <c r="T467" t="str">
        <f>"13:54:21.688"</f>
        <v>13:54:21.688</v>
      </c>
      <c r="U467" t="str">
        <f t="shared" si="25"/>
        <v>A92BC1</v>
      </c>
      <c r="V467">
        <v>0</v>
      </c>
      <c r="W467">
        <v>0</v>
      </c>
      <c r="X467">
        <v>2</v>
      </c>
      <c r="Z467">
        <v>0</v>
      </c>
      <c r="AA467">
        <v>9</v>
      </c>
      <c r="AB467">
        <v>3</v>
      </c>
      <c r="AC467">
        <v>0</v>
      </c>
      <c r="AD467">
        <v>10</v>
      </c>
      <c r="AE467">
        <v>0</v>
      </c>
      <c r="AF467">
        <v>3</v>
      </c>
      <c r="AG467">
        <v>2</v>
      </c>
      <c r="AH467">
        <v>0</v>
      </c>
      <c r="AI467" t="s">
        <v>568</v>
      </c>
      <c r="AJ467">
        <v>45.738702000000004</v>
      </c>
      <c r="AK467" t="s">
        <v>569</v>
      </c>
      <c r="AL467">
        <v>-89.366011999999998</v>
      </c>
      <c r="AM467">
        <v>100</v>
      </c>
      <c r="AN467">
        <v>9400</v>
      </c>
      <c r="AO467" t="s">
        <v>118</v>
      </c>
      <c r="AP467">
        <v>125</v>
      </c>
      <c r="AQ467">
        <v>113</v>
      </c>
      <c r="AR467">
        <v>2048</v>
      </c>
      <c r="AZ467">
        <v>1200</v>
      </c>
      <c r="BA467">
        <v>1</v>
      </c>
      <c r="BB467" t="str">
        <f t="shared" si="24"/>
        <v xml:space="preserve">N690LS  </v>
      </c>
      <c r="BC467">
        <v>1</v>
      </c>
      <c r="BE467">
        <v>0</v>
      </c>
      <c r="BF467">
        <v>0</v>
      </c>
      <c r="BG467">
        <v>0</v>
      </c>
      <c r="BH467">
        <v>9675</v>
      </c>
      <c r="BI467">
        <v>1</v>
      </c>
      <c r="BJ467">
        <v>1</v>
      </c>
      <c r="BK467">
        <v>1</v>
      </c>
      <c r="BL467">
        <v>0</v>
      </c>
      <c r="BO467">
        <v>0</v>
      </c>
      <c r="BP467">
        <v>0</v>
      </c>
      <c r="BW467" t="str">
        <f>"13:54:22.189"</f>
        <v>13:54:22.189</v>
      </c>
      <c r="CJ467">
        <v>0</v>
      </c>
      <c r="CK467">
        <v>2</v>
      </c>
      <c r="CL467">
        <v>0</v>
      </c>
      <c r="CM467">
        <v>2</v>
      </c>
      <c r="CN467">
        <v>0</v>
      </c>
      <c r="CO467">
        <v>7</v>
      </c>
      <c r="CP467" t="s">
        <v>119</v>
      </c>
      <c r="CQ467">
        <v>197</v>
      </c>
      <c r="CR467">
        <v>2</v>
      </c>
      <c r="CW467">
        <v>2296982</v>
      </c>
      <c r="CY467">
        <v>1</v>
      </c>
      <c r="CZ467">
        <v>0</v>
      </c>
      <c r="DA467">
        <v>0</v>
      </c>
      <c r="DB467">
        <v>0</v>
      </c>
      <c r="DC467">
        <v>0</v>
      </c>
      <c r="DD467">
        <v>0</v>
      </c>
      <c r="DE467">
        <v>0</v>
      </c>
      <c r="DF467">
        <v>0</v>
      </c>
      <c r="DG467">
        <v>0</v>
      </c>
      <c r="DH467">
        <v>0</v>
      </c>
      <c r="DI467">
        <v>0</v>
      </c>
    </row>
    <row r="468" spans="1:113" x14ac:dyDescent="0.3">
      <c r="A468" t="str">
        <f>"09/28/2021 13:54:22.400"</f>
        <v>09/28/2021 13:54:22.400</v>
      </c>
      <c r="C468" t="str">
        <f t="shared" si="23"/>
        <v>FFDFD3C0</v>
      </c>
      <c r="D468" t="s">
        <v>120</v>
      </c>
      <c r="E468">
        <v>12</v>
      </c>
      <c r="F468">
        <v>1012</v>
      </c>
      <c r="G468" t="s">
        <v>114</v>
      </c>
      <c r="J468" t="s">
        <v>121</v>
      </c>
      <c r="K468">
        <v>0</v>
      </c>
      <c r="L468">
        <v>3</v>
      </c>
      <c r="M468">
        <v>0</v>
      </c>
      <c r="N468">
        <v>2</v>
      </c>
      <c r="O468">
        <v>1</v>
      </c>
      <c r="P468">
        <v>0</v>
      </c>
      <c r="Q468">
        <v>0</v>
      </c>
      <c r="S468" t="str">
        <f>"13:54:22.188"</f>
        <v>13:54:22.188</v>
      </c>
      <c r="T468" t="str">
        <f>"13:54:21.688"</f>
        <v>13:54:21.688</v>
      </c>
      <c r="U468" t="str">
        <f t="shared" si="25"/>
        <v>A92BC1</v>
      </c>
      <c r="V468">
        <v>0</v>
      </c>
      <c r="W468">
        <v>0</v>
      </c>
      <c r="X468">
        <v>2</v>
      </c>
      <c r="Z468">
        <v>0</v>
      </c>
      <c r="AA468">
        <v>9</v>
      </c>
      <c r="AB468">
        <v>3</v>
      </c>
      <c r="AC468">
        <v>0</v>
      </c>
      <c r="AD468">
        <v>10</v>
      </c>
      <c r="AE468">
        <v>0</v>
      </c>
      <c r="AF468">
        <v>3</v>
      </c>
      <c r="AG468">
        <v>2</v>
      </c>
      <c r="AH468">
        <v>0</v>
      </c>
      <c r="AI468" t="s">
        <v>568</v>
      </c>
      <c r="AJ468">
        <v>45.738702000000004</v>
      </c>
      <c r="AK468" t="s">
        <v>569</v>
      </c>
      <c r="AL468">
        <v>-89.366011999999998</v>
      </c>
      <c r="AM468">
        <v>100</v>
      </c>
      <c r="AN468">
        <v>9400</v>
      </c>
      <c r="AO468" t="s">
        <v>118</v>
      </c>
      <c r="AP468">
        <v>125</v>
      </c>
      <c r="AQ468">
        <v>113</v>
      </c>
      <c r="AR468">
        <v>2048</v>
      </c>
      <c r="AZ468">
        <v>1200</v>
      </c>
      <c r="BA468">
        <v>1</v>
      </c>
      <c r="BB468" t="str">
        <f t="shared" si="24"/>
        <v xml:space="preserve">N690LS  </v>
      </c>
      <c r="BC468">
        <v>1</v>
      </c>
      <c r="BE468">
        <v>0</v>
      </c>
      <c r="BF468">
        <v>0</v>
      </c>
      <c r="BG468">
        <v>0</v>
      </c>
      <c r="BH468">
        <v>9675</v>
      </c>
      <c r="BI468">
        <v>1</v>
      </c>
      <c r="BJ468">
        <v>1</v>
      </c>
      <c r="BK468">
        <v>1</v>
      </c>
      <c r="BL468">
        <v>0</v>
      </c>
      <c r="BO468">
        <v>0</v>
      </c>
      <c r="BP468">
        <v>0</v>
      </c>
      <c r="BW468" t="str">
        <f>"13:54:22.189"</f>
        <v>13:54:22.189</v>
      </c>
      <c r="CJ468">
        <v>0</v>
      </c>
      <c r="CK468">
        <v>2</v>
      </c>
      <c r="CL468">
        <v>0</v>
      </c>
      <c r="CM468">
        <v>2</v>
      </c>
      <c r="CN468">
        <v>0</v>
      </c>
      <c r="CO468">
        <v>7</v>
      </c>
      <c r="CP468" t="s">
        <v>119</v>
      </c>
      <c r="CQ468">
        <v>197</v>
      </c>
      <c r="CR468">
        <v>2</v>
      </c>
      <c r="CW468">
        <v>2296982</v>
      </c>
      <c r="CY468">
        <v>1</v>
      </c>
      <c r="CZ468">
        <v>0</v>
      </c>
      <c r="DA468">
        <v>1</v>
      </c>
      <c r="DB468">
        <v>0</v>
      </c>
      <c r="DC468">
        <v>0</v>
      </c>
      <c r="DD468">
        <v>0</v>
      </c>
      <c r="DE468">
        <v>0</v>
      </c>
      <c r="DF468">
        <v>0</v>
      </c>
      <c r="DG468">
        <v>0</v>
      </c>
      <c r="DH468">
        <v>0</v>
      </c>
      <c r="DI468">
        <v>0</v>
      </c>
    </row>
    <row r="469" spans="1:113" x14ac:dyDescent="0.3">
      <c r="A469" t="str">
        <f>"09/28/2021 13:54:23.432"</f>
        <v>09/28/2021 13:54:23.432</v>
      </c>
      <c r="C469" t="str">
        <f t="shared" si="23"/>
        <v>FFDFD3C0</v>
      </c>
      <c r="D469" t="s">
        <v>120</v>
      </c>
      <c r="E469">
        <v>12</v>
      </c>
      <c r="F469">
        <v>1012</v>
      </c>
      <c r="G469" t="s">
        <v>114</v>
      </c>
      <c r="J469" t="s">
        <v>121</v>
      </c>
      <c r="K469">
        <v>0</v>
      </c>
      <c r="L469">
        <v>3</v>
      </c>
      <c r="M469">
        <v>0</v>
      </c>
      <c r="N469">
        <v>2</v>
      </c>
      <c r="O469">
        <v>1</v>
      </c>
      <c r="P469">
        <v>0</v>
      </c>
      <c r="Q469">
        <v>0</v>
      </c>
      <c r="S469" t="str">
        <f>"13:54:23.211"</f>
        <v>13:54:23.211</v>
      </c>
      <c r="T469" t="str">
        <f>"13:54:22.811"</f>
        <v>13:54:22.811</v>
      </c>
      <c r="U469" t="str">
        <f t="shared" si="25"/>
        <v>A92BC1</v>
      </c>
      <c r="V469">
        <v>0</v>
      </c>
      <c r="W469">
        <v>0</v>
      </c>
      <c r="X469">
        <v>2</v>
      </c>
      <c r="Z469">
        <v>0</v>
      </c>
      <c r="AA469">
        <v>9</v>
      </c>
      <c r="AB469">
        <v>3</v>
      </c>
      <c r="AC469">
        <v>0</v>
      </c>
      <c r="AD469">
        <v>10</v>
      </c>
      <c r="AE469">
        <v>0</v>
      </c>
      <c r="AF469">
        <v>3</v>
      </c>
      <c r="AG469">
        <v>2</v>
      </c>
      <c r="AH469">
        <v>0</v>
      </c>
      <c r="AI469" t="s">
        <v>570</v>
      </c>
      <c r="AJ469">
        <v>45.739238</v>
      </c>
      <c r="AK469" t="s">
        <v>571</v>
      </c>
      <c r="AL469">
        <v>-89.365132000000003</v>
      </c>
      <c r="AM469">
        <v>100</v>
      </c>
      <c r="AN469">
        <v>9400</v>
      </c>
      <c r="AO469" t="s">
        <v>118</v>
      </c>
      <c r="AP469">
        <v>125</v>
      </c>
      <c r="AQ469">
        <v>113</v>
      </c>
      <c r="AR469">
        <v>2048</v>
      </c>
      <c r="AZ469">
        <v>1200</v>
      </c>
      <c r="BA469">
        <v>1</v>
      </c>
      <c r="BB469" t="str">
        <f t="shared" si="24"/>
        <v xml:space="preserve">N690LS  </v>
      </c>
      <c r="BC469">
        <v>1</v>
      </c>
      <c r="BE469">
        <v>0</v>
      </c>
      <c r="BF469">
        <v>0</v>
      </c>
      <c r="BG469">
        <v>0</v>
      </c>
      <c r="BH469">
        <v>9700</v>
      </c>
      <c r="BI469">
        <v>1</v>
      </c>
      <c r="BJ469">
        <v>1</v>
      </c>
      <c r="BK469">
        <v>1</v>
      </c>
      <c r="BL469">
        <v>0</v>
      </c>
      <c r="BO469">
        <v>0</v>
      </c>
      <c r="BP469">
        <v>0</v>
      </c>
      <c r="BW469" t="str">
        <f>"13:54:23.212"</f>
        <v>13:54:23.212</v>
      </c>
      <c r="CJ469">
        <v>0</v>
      </c>
      <c r="CK469">
        <v>2</v>
      </c>
      <c r="CL469">
        <v>0</v>
      </c>
      <c r="CM469">
        <v>2</v>
      </c>
      <c r="CN469">
        <v>0</v>
      </c>
      <c r="CO469">
        <v>7</v>
      </c>
      <c r="CP469" t="s">
        <v>119</v>
      </c>
      <c r="CQ469">
        <v>197</v>
      </c>
      <c r="CR469">
        <v>2</v>
      </c>
      <c r="CW469">
        <v>2297911</v>
      </c>
      <c r="CY469">
        <v>1</v>
      </c>
      <c r="CZ469">
        <v>0</v>
      </c>
      <c r="DA469">
        <v>0</v>
      </c>
      <c r="DB469">
        <v>0</v>
      </c>
      <c r="DC469">
        <v>0</v>
      </c>
      <c r="DD469">
        <v>0</v>
      </c>
      <c r="DE469">
        <v>0</v>
      </c>
      <c r="DF469">
        <v>0</v>
      </c>
      <c r="DG469">
        <v>0</v>
      </c>
      <c r="DH469">
        <v>0</v>
      </c>
      <c r="DI469">
        <v>0</v>
      </c>
    </row>
    <row r="470" spans="1:113" x14ac:dyDescent="0.3">
      <c r="A470" t="str">
        <f>"09/28/2021 13:54:23.447"</f>
        <v>09/28/2021 13:54:23.447</v>
      </c>
      <c r="C470" t="str">
        <f t="shared" si="23"/>
        <v>FFDFD3C0</v>
      </c>
      <c r="D470" t="s">
        <v>113</v>
      </c>
      <c r="E470">
        <v>7</v>
      </c>
      <c r="H470">
        <v>170</v>
      </c>
      <c r="I470" t="s">
        <v>114</v>
      </c>
      <c r="J470" t="s">
        <v>115</v>
      </c>
      <c r="K470">
        <v>0</v>
      </c>
      <c r="L470">
        <v>3</v>
      </c>
      <c r="M470">
        <v>0</v>
      </c>
      <c r="N470">
        <v>2</v>
      </c>
      <c r="O470">
        <v>1</v>
      </c>
      <c r="P470">
        <v>0</v>
      </c>
      <c r="Q470">
        <v>0</v>
      </c>
      <c r="S470" t="str">
        <f>"13:54:23.211"</f>
        <v>13:54:23.211</v>
      </c>
      <c r="T470" t="str">
        <f>"13:54:22.811"</f>
        <v>13:54:22.811</v>
      </c>
      <c r="U470" t="str">
        <f t="shared" si="25"/>
        <v>A92BC1</v>
      </c>
      <c r="V470">
        <v>0</v>
      </c>
      <c r="W470">
        <v>0</v>
      </c>
      <c r="X470">
        <v>2</v>
      </c>
      <c r="Z470">
        <v>0</v>
      </c>
      <c r="AA470">
        <v>9</v>
      </c>
      <c r="AB470">
        <v>3</v>
      </c>
      <c r="AC470">
        <v>0</v>
      </c>
      <c r="AD470">
        <v>10</v>
      </c>
      <c r="AE470">
        <v>0</v>
      </c>
      <c r="AF470">
        <v>3</v>
      </c>
      <c r="AG470">
        <v>2</v>
      </c>
      <c r="AH470">
        <v>0</v>
      </c>
      <c r="AI470" t="s">
        <v>570</v>
      </c>
      <c r="AJ470">
        <v>45.739238</v>
      </c>
      <c r="AK470" t="s">
        <v>571</v>
      </c>
      <c r="AL470">
        <v>-89.365132000000003</v>
      </c>
      <c r="AM470">
        <v>100</v>
      </c>
      <c r="AN470">
        <v>9400</v>
      </c>
      <c r="AO470" t="s">
        <v>118</v>
      </c>
      <c r="AP470">
        <v>125</v>
      </c>
      <c r="AQ470">
        <v>113</v>
      </c>
      <c r="AR470">
        <v>2048</v>
      </c>
      <c r="AZ470">
        <v>1200</v>
      </c>
      <c r="BA470">
        <v>1</v>
      </c>
      <c r="BB470" t="str">
        <f t="shared" si="24"/>
        <v xml:space="preserve">N690LS  </v>
      </c>
      <c r="BC470">
        <v>1</v>
      </c>
      <c r="BE470">
        <v>0</v>
      </c>
      <c r="BF470">
        <v>0</v>
      </c>
      <c r="BG470">
        <v>0</v>
      </c>
      <c r="BH470">
        <v>9700</v>
      </c>
      <c r="BI470">
        <v>1</v>
      </c>
      <c r="BJ470">
        <v>1</v>
      </c>
      <c r="BK470">
        <v>1</v>
      </c>
      <c r="BL470">
        <v>0</v>
      </c>
      <c r="BO470">
        <v>0</v>
      </c>
      <c r="BP470">
        <v>0</v>
      </c>
      <c r="BW470" t="str">
        <f>"13:54:23.212"</f>
        <v>13:54:23.212</v>
      </c>
      <c r="CJ470">
        <v>0</v>
      </c>
      <c r="CK470">
        <v>2</v>
      </c>
      <c r="CL470">
        <v>0</v>
      </c>
      <c r="CM470">
        <v>2</v>
      </c>
      <c r="CN470">
        <v>0</v>
      </c>
      <c r="CO470">
        <v>7</v>
      </c>
      <c r="CP470" t="s">
        <v>119</v>
      </c>
      <c r="CQ470">
        <v>197</v>
      </c>
      <c r="CR470">
        <v>2</v>
      </c>
      <c r="CW470">
        <v>2297911</v>
      </c>
      <c r="CY470">
        <v>1</v>
      </c>
      <c r="CZ470">
        <v>0</v>
      </c>
      <c r="DA470">
        <v>1</v>
      </c>
      <c r="DB470">
        <v>0</v>
      </c>
      <c r="DC470">
        <v>0</v>
      </c>
      <c r="DD470">
        <v>0</v>
      </c>
      <c r="DE470">
        <v>0</v>
      </c>
      <c r="DF470">
        <v>0</v>
      </c>
      <c r="DG470">
        <v>0</v>
      </c>
      <c r="DH470">
        <v>0</v>
      </c>
      <c r="DI470">
        <v>0</v>
      </c>
    </row>
    <row r="471" spans="1:113" x14ac:dyDescent="0.3">
      <c r="A471" t="str">
        <f>"09/28/2021 13:54:24.605"</f>
        <v>09/28/2021 13:54:24.605</v>
      </c>
      <c r="C471" t="str">
        <f t="shared" si="23"/>
        <v>FFDFD3C0</v>
      </c>
      <c r="D471" t="s">
        <v>113</v>
      </c>
      <c r="E471">
        <v>7</v>
      </c>
      <c r="H471">
        <v>170</v>
      </c>
      <c r="I471" t="s">
        <v>114</v>
      </c>
      <c r="J471" t="s">
        <v>115</v>
      </c>
      <c r="K471">
        <v>0</v>
      </c>
      <c r="L471">
        <v>3</v>
      </c>
      <c r="M471">
        <v>0</v>
      </c>
      <c r="N471">
        <v>2</v>
      </c>
      <c r="O471">
        <v>1</v>
      </c>
      <c r="P471">
        <v>0</v>
      </c>
      <c r="Q471">
        <v>0</v>
      </c>
      <c r="S471" t="str">
        <f>"13:54:24.391"</f>
        <v>13:54:24.391</v>
      </c>
      <c r="T471" t="str">
        <f>"13:54:23.891"</f>
        <v>13:54:23.891</v>
      </c>
      <c r="U471" t="str">
        <f t="shared" si="25"/>
        <v>A92BC1</v>
      </c>
      <c r="V471">
        <v>0</v>
      </c>
      <c r="W471">
        <v>0</v>
      </c>
      <c r="X471">
        <v>2</v>
      </c>
      <c r="Z471">
        <v>0</v>
      </c>
      <c r="AA471">
        <v>9</v>
      </c>
      <c r="AB471">
        <v>3</v>
      </c>
      <c r="AC471">
        <v>0</v>
      </c>
      <c r="AD471">
        <v>10</v>
      </c>
      <c r="AE471">
        <v>0</v>
      </c>
      <c r="AF471">
        <v>3</v>
      </c>
      <c r="AG471">
        <v>2</v>
      </c>
      <c r="AH471">
        <v>0</v>
      </c>
      <c r="AI471" t="s">
        <v>572</v>
      </c>
      <c r="AJ471">
        <v>45.739839000000003</v>
      </c>
      <c r="AK471" t="s">
        <v>573</v>
      </c>
      <c r="AL471">
        <v>-89.364209000000002</v>
      </c>
      <c r="AM471">
        <v>100</v>
      </c>
      <c r="AN471">
        <v>9500</v>
      </c>
      <c r="AO471" t="s">
        <v>118</v>
      </c>
      <c r="AP471">
        <v>125</v>
      </c>
      <c r="AQ471">
        <v>113</v>
      </c>
      <c r="AR471">
        <v>2048</v>
      </c>
      <c r="AZ471">
        <v>1200</v>
      </c>
      <c r="BA471">
        <v>1</v>
      </c>
      <c r="BB471" t="str">
        <f t="shared" si="24"/>
        <v xml:space="preserve">N690LS  </v>
      </c>
      <c r="BC471">
        <v>1</v>
      </c>
      <c r="BE471">
        <v>0</v>
      </c>
      <c r="BF471">
        <v>0</v>
      </c>
      <c r="BG471">
        <v>0</v>
      </c>
      <c r="BH471">
        <v>9725</v>
      </c>
      <c r="BI471">
        <v>1</v>
      </c>
      <c r="BJ471">
        <v>1</v>
      </c>
      <c r="BK471">
        <v>1</v>
      </c>
      <c r="BL471">
        <v>0</v>
      </c>
      <c r="BO471">
        <v>0</v>
      </c>
      <c r="BP471">
        <v>0</v>
      </c>
      <c r="BW471" t="str">
        <f>"13:54:24.395"</f>
        <v>13:54:24.395</v>
      </c>
      <c r="CJ471">
        <v>0</v>
      </c>
      <c r="CK471">
        <v>2</v>
      </c>
      <c r="CL471">
        <v>0</v>
      </c>
      <c r="CM471">
        <v>2</v>
      </c>
      <c r="CN471">
        <v>0</v>
      </c>
      <c r="CO471">
        <v>7</v>
      </c>
      <c r="CP471" t="s">
        <v>119</v>
      </c>
      <c r="CQ471">
        <v>197</v>
      </c>
      <c r="CR471">
        <v>2</v>
      </c>
      <c r="CW471">
        <v>2298968</v>
      </c>
      <c r="CY471">
        <v>1</v>
      </c>
      <c r="CZ471">
        <v>0</v>
      </c>
      <c r="DA471">
        <v>0</v>
      </c>
      <c r="DB471">
        <v>0</v>
      </c>
      <c r="DC471">
        <v>0</v>
      </c>
      <c r="DD471">
        <v>0</v>
      </c>
      <c r="DE471">
        <v>0</v>
      </c>
      <c r="DF471">
        <v>0</v>
      </c>
      <c r="DG471">
        <v>0</v>
      </c>
      <c r="DH471">
        <v>0</v>
      </c>
      <c r="DI471">
        <v>0</v>
      </c>
    </row>
    <row r="472" spans="1:113" x14ac:dyDescent="0.3">
      <c r="A472" t="str">
        <f>"09/28/2021 13:54:24.636"</f>
        <v>09/28/2021 13:54:24.636</v>
      </c>
      <c r="C472" t="str">
        <f t="shared" si="23"/>
        <v>FFDFD3C0</v>
      </c>
      <c r="D472" t="s">
        <v>120</v>
      </c>
      <c r="E472">
        <v>12</v>
      </c>
      <c r="F472">
        <v>1012</v>
      </c>
      <c r="G472" t="s">
        <v>114</v>
      </c>
      <c r="J472" t="s">
        <v>121</v>
      </c>
      <c r="K472">
        <v>0</v>
      </c>
      <c r="L472">
        <v>3</v>
      </c>
      <c r="M472">
        <v>0</v>
      </c>
      <c r="N472">
        <v>2</v>
      </c>
      <c r="O472">
        <v>1</v>
      </c>
      <c r="P472">
        <v>0</v>
      </c>
      <c r="Q472">
        <v>0</v>
      </c>
      <c r="S472" t="str">
        <f>"13:54:24.391"</f>
        <v>13:54:24.391</v>
      </c>
      <c r="T472" t="str">
        <f>"13:54:23.891"</f>
        <v>13:54:23.891</v>
      </c>
      <c r="U472" t="str">
        <f t="shared" si="25"/>
        <v>A92BC1</v>
      </c>
      <c r="V472">
        <v>0</v>
      </c>
      <c r="W472">
        <v>0</v>
      </c>
      <c r="X472">
        <v>2</v>
      </c>
      <c r="Z472">
        <v>0</v>
      </c>
      <c r="AA472">
        <v>9</v>
      </c>
      <c r="AB472">
        <v>3</v>
      </c>
      <c r="AC472">
        <v>0</v>
      </c>
      <c r="AD472">
        <v>10</v>
      </c>
      <c r="AE472">
        <v>0</v>
      </c>
      <c r="AF472">
        <v>3</v>
      </c>
      <c r="AG472">
        <v>2</v>
      </c>
      <c r="AH472">
        <v>0</v>
      </c>
      <c r="AI472" t="s">
        <v>572</v>
      </c>
      <c r="AJ472">
        <v>45.739839000000003</v>
      </c>
      <c r="AK472" t="s">
        <v>573</v>
      </c>
      <c r="AL472">
        <v>-89.364209000000002</v>
      </c>
      <c r="AM472">
        <v>100</v>
      </c>
      <c r="AN472">
        <v>9500</v>
      </c>
      <c r="AO472" t="s">
        <v>118</v>
      </c>
      <c r="AP472">
        <v>125</v>
      </c>
      <c r="AQ472">
        <v>113</v>
      </c>
      <c r="AR472">
        <v>2048</v>
      </c>
      <c r="AZ472">
        <v>1200</v>
      </c>
      <c r="BA472">
        <v>1</v>
      </c>
      <c r="BB472" t="str">
        <f t="shared" si="24"/>
        <v xml:space="preserve">N690LS  </v>
      </c>
      <c r="BC472">
        <v>1</v>
      </c>
      <c r="BE472">
        <v>0</v>
      </c>
      <c r="BF472">
        <v>0</v>
      </c>
      <c r="BG472">
        <v>0</v>
      </c>
      <c r="BH472">
        <v>9725</v>
      </c>
      <c r="BI472">
        <v>1</v>
      </c>
      <c r="BJ472">
        <v>1</v>
      </c>
      <c r="BK472">
        <v>1</v>
      </c>
      <c r="BL472">
        <v>0</v>
      </c>
      <c r="BO472">
        <v>0</v>
      </c>
      <c r="BP472">
        <v>0</v>
      </c>
      <c r="BW472" t="str">
        <f>"13:54:24.395"</f>
        <v>13:54:24.395</v>
      </c>
      <c r="CJ472">
        <v>0</v>
      </c>
      <c r="CK472">
        <v>2</v>
      </c>
      <c r="CL472">
        <v>0</v>
      </c>
      <c r="CM472">
        <v>2</v>
      </c>
      <c r="CN472">
        <v>0</v>
      </c>
      <c r="CO472">
        <v>7</v>
      </c>
      <c r="CP472" t="s">
        <v>119</v>
      </c>
      <c r="CQ472">
        <v>197</v>
      </c>
      <c r="CR472">
        <v>2</v>
      </c>
      <c r="CW472">
        <v>2298968</v>
      </c>
      <c r="CY472">
        <v>1</v>
      </c>
      <c r="CZ472">
        <v>0</v>
      </c>
      <c r="DA472">
        <v>1</v>
      </c>
      <c r="DB472">
        <v>0</v>
      </c>
      <c r="DC472">
        <v>0</v>
      </c>
      <c r="DD472">
        <v>0</v>
      </c>
      <c r="DE472">
        <v>0</v>
      </c>
      <c r="DF472">
        <v>0</v>
      </c>
      <c r="DG472">
        <v>0</v>
      </c>
      <c r="DH472">
        <v>0</v>
      </c>
      <c r="DI472">
        <v>0</v>
      </c>
    </row>
    <row r="473" spans="1:113" x14ac:dyDescent="0.3">
      <c r="A473" t="str">
        <f>"09/28/2021 13:54:25.605"</f>
        <v>09/28/2021 13:54:25.605</v>
      </c>
      <c r="C473" t="str">
        <f t="shared" si="23"/>
        <v>FFDFD3C0</v>
      </c>
      <c r="D473" t="s">
        <v>113</v>
      </c>
      <c r="E473">
        <v>7</v>
      </c>
      <c r="H473">
        <v>170</v>
      </c>
      <c r="I473" t="s">
        <v>114</v>
      </c>
      <c r="J473" t="s">
        <v>115</v>
      </c>
      <c r="K473">
        <v>0</v>
      </c>
      <c r="L473">
        <v>3</v>
      </c>
      <c r="M473">
        <v>0</v>
      </c>
      <c r="N473">
        <v>2</v>
      </c>
      <c r="O473">
        <v>1</v>
      </c>
      <c r="P473">
        <v>0</v>
      </c>
      <c r="Q473">
        <v>0</v>
      </c>
      <c r="S473" t="str">
        <f>"13:54:25.398"</f>
        <v>13:54:25.398</v>
      </c>
      <c r="T473" t="str">
        <f>"13:54:24.898"</f>
        <v>13:54:24.898</v>
      </c>
      <c r="U473" t="str">
        <f t="shared" si="25"/>
        <v>A92BC1</v>
      </c>
      <c r="V473">
        <v>0</v>
      </c>
      <c r="W473">
        <v>0</v>
      </c>
      <c r="X473">
        <v>2</v>
      </c>
      <c r="Z473">
        <v>0</v>
      </c>
      <c r="AA473">
        <v>9</v>
      </c>
      <c r="AB473">
        <v>3</v>
      </c>
      <c r="AC473">
        <v>0</v>
      </c>
      <c r="AD473">
        <v>10</v>
      </c>
      <c r="AE473">
        <v>0</v>
      </c>
      <c r="AF473">
        <v>3</v>
      </c>
      <c r="AG473">
        <v>2</v>
      </c>
      <c r="AH473">
        <v>0</v>
      </c>
      <c r="AI473" t="s">
        <v>574</v>
      </c>
      <c r="AJ473">
        <v>45.740397000000002</v>
      </c>
      <c r="AK473" t="s">
        <v>575</v>
      </c>
      <c r="AL473">
        <v>-89.363328999999993</v>
      </c>
      <c r="AM473">
        <v>100</v>
      </c>
      <c r="AN473">
        <v>9500</v>
      </c>
      <c r="AO473" t="s">
        <v>118</v>
      </c>
      <c r="AP473">
        <v>124</v>
      </c>
      <c r="AQ473">
        <v>113</v>
      </c>
      <c r="AR473">
        <v>2048</v>
      </c>
      <c r="AZ473">
        <v>1200</v>
      </c>
      <c r="BA473">
        <v>1</v>
      </c>
      <c r="BB473" t="str">
        <f t="shared" si="24"/>
        <v xml:space="preserve">N690LS  </v>
      </c>
      <c r="BC473">
        <v>1</v>
      </c>
      <c r="BE473">
        <v>0</v>
      </c>
      <c r="BF473">
        <v>0</v>
      </c>
      <c r="BG473">
        <v>0</v>
      </c>
      <c r="BH473">
        <v>9775</v>
      </c>
      <c r="BI473">
        <v>1</v>
      </c>
      <c r="BJ473">
        <v>1</v>
      </c>
      <c r="BK473">
        <v>1</v>
      </c>
      <c r="BL473">
        <v>0</v>
      </c>
      <c r="BO473">
        <v>0</v>
      </c>
      <c r="BP473">
        <v>0</v>
      </c>
      <c r="BW473" t="str">
        <f>"13:54:25.404"</f>
        <v>13:54:25.404</v>
      </c>
      <c r="CJ473">
        <v>0</v>
      </c>
      <c r="CK473">
        <v>2</v>
      </c>
      <c r="CL473">
        <v>0</v>
      </c>
      <c r="CM473">
        <v>2</v>
      </c>
      <c r="CN473">
        <v>0</v>
      </c>
      <c r="CO473">
        <v>7</v>
      </c>
      <c r="CP473" t="s">
        <v>119</v>
      </c>
      <c r="CQ473">
        <v>197</v>
      </c>
      <c r="CR473">
        <v>1</v>
      </c>
      <c r="CW473">
        <v>7218129</v>
      </c>
      <c r="CY473">
        <v>1</v>
      </c>
      <c r="CZ473">
        <v>0</v>
      </c>
      <c r="DA473">
        <v>0</v>
      </c>
      <c r="DB473">
        <v>0</v>
      </c>
      <c r="DC473">
        <v>0</v>
      </c>
      <c r="DD473">
        <v>0</v>
      </c>
      <c r="DE473">
        <v>0</v>
      </c>
      <c r="DF473">
        <v>0</v>
      </c>
      <c r="DG473">
        <v>0</v>
      </c>
      <c r="DH473">
        <v>0</v>
      </c>
      <c r="DI473">
        <v>0</v>
      </c>
    </row>
    <row r="474" spans="1:113" x14ac:dyDescent="0.3">
      <c r="A474" t="str">
        <f>"09/28/2021 13:54:25.574"</f>
        <v>09/28/2021 13:54:25.574</v>
      </c>
      <c r="C474" t="str">
        <f t="shared" si="23"/>
        <v>FFDFD3C0</v>
      </c>
      <c r="D474" t="s">
        <v>120</v>
      </c>
      <c r="E474">
        <v>12</v>
      </c>
      <c r="F474">
        <v>1012</v>
      </c>
      <c r="G474" t="s">
        <v>114</v>
      </c>
      <c r="J474" t="s">
        <v>121</v>
      </c>
      <c r="K474">
        <v>0</v>
      </c>
      <c r="L474">
        <v>3</v>
      </c>
      <c r="M474">
        <v>0</v>
      </c>
      <c r="N474">
        <v>2</v>
      </c>
      <c r="O474">
        <v>1</v>
      </c>
      <c r="P474">
        <v>0</v>
      </c>
      <c r="Q474">
        <v>0</v>
      </c>
      <c r="S474" t="str">
        <f>"13:54:25.398"</f>
        <v>13:54:25.398</v>
      </c>
      <c r="T474" t="str">
        <f>"13:54:24.898"</f>
        <v>13:54:24.898</v>
      </c>
      <c r="U474" t="str">
        <f t="shared" si="25"/>
        <v>A92BC1</v>
      </c>
      <c r="V474">
        <v>0</v>
      </c>
      <c r="W474">
        <v>0</v>
      </c>
      <c r="X474">
        <v>2</v>
      </c>
      <c r="Z474">
        <v>0</v>
      </c>
      <c r="AA474">
        <v>9</v>
      </c>
      <c r="AB474">
        <v>3</v>
      </c>
      <c r="AC474">
        <v>0</v>
      </c>
      <c r="AD474">
        <v>10</v>
      </c>
      <c r="AE474">
        <v>0</v>
      </c>
      <c r="AF474">
        <v>3</v>
      </c>
      <c r="AG474">
        <v>2</v>
      </c>
      <c r="AH474">
        <v>0</v>
      </c>
      <c r="AI474" t="s">
        <v>574</v>
      </c>
      <c r="AJ474">
        <v>45.740397000000002</v>
      </c>
      <c r="AK474" t="s">
        <v>575</v>
      </c>
      <c r="AL474">
        <v>-89.363328999999993</v>
      </c>
      <c r="AM474">
        <v>100</v>
      </c>
      <c r="AN474">
        <v>9500</v>
      </c>
      <c r="AO474" t="s">
        <v>118</v>
      </c>
      <c r="AP474">
        <v>124</v>
      </c>
      <c r="AQ474">
        <v>113</v>
      </c>
      <c r="AR474">
        <v>2048</v>
      </c>
      <c r="AZ474">
        <v>1200</v>
      </c>
      <c r="BA474">
        <v>1</v>
      </c>
      <c r="BB474" t="str">
        <f t="shared" si="24"/>
        <v xml:space="preserve">N690LS  </v>
      </c>
      <c r="BC474">
        <v>1</v>
      </c>
      <c r="BE474">
        <v>0</v>
      </c>
      <c r="BF474">
        <v>0</v>
      </c>
      <c r="BG474">
        <v>0</v>
      </c>
      <c r="BH474">
        <v>9775</v>
      </c>
      <c r="BI474">
        <v>1</v>
      </c>
      <c r="BJ474">
        <v>1</v>
      </c>
      <c r="BK474">
        <v>1</v>
      </c>
      <c r="BL474">
        <v>0</v>
      </c>
      <c r="BO474">
        <v>0</v>
      </c>
      <c r="BP474">
        <v>0</v>
      </c>
      <c r="BW474" t="str">
        <f>"13:54:25.404"</f>
        <v>13:54:25.404</v>
      </c>
      <c r="CJ474">
        <v>0</v>
      </c>
      <c r="CK474">
        <v>2</v>
      </c>
      <c r="CL474">
        <v>0</v>
      </c>
      <c r="CM474">
        <v>2</v>
      </c>
      <c r="CN474">
        <v>0</v>
      </c>
      <c r="CO474">
        <v>7</v>
      </c>
      <c r="CP474" t="s">
        <v>119</v>
      </c>
      <c r="CQ474">
        <v>197</v>
      </c>
      <c r="CR474">
        <v>1</v>
      </c>
      <c r="CW474">
        <v>7218129</v>
      </c>
      <c r="CY474">
        <v>1</v>
      </c>
      <c r="CZ474">
        <v>0</v>
      </c>
      <c r="DA474">
        <v>1</v>
      </c>
      <c r="DB474">
        <v>0</v>
      </c>
      <c r="DC474">
        <v>0</v>
      </c>
      <c r="DD474">
        <v>0</v>
      </c>
      <c r="DE474">
        <v>0</v>
      </c>
      <c r="DF474">
        <v>0</v>
      </c>
      <c r="DG474">
        <v>0</v>
      </c>
      <c r="DH474">
        <v>0</v>
      </c>
      <c r="DI474">
        <v>0</v>
      </c>
    </row>
    <row r="475" spans="1:113" x14ac:dyDescent="0.3">
      <c r="A475" t="str">
        <f>"09/28/2021 13:54:26.760"</f>
        <v>09/28/2021 13:54:26.760</v>
      </c>
      <c r="C475" t="str">
        <f t="shared" si="23"/>
        <v>FFDFD3C0</v>
      </c>
      <c r="D475" t="s">
        <v>113</v>
      </c>
      <c r="E475">
        <v>7</v>
      </c>
      <c r="H475">
        <v>170</v>
      </c>
      <c r="I475" t="s">
        <v>114</v>
      </c>
      <c r="J475" t="s">
        <v>115</v>
      </c>
      <c r="K475">
        <v>0</v>
      </c>
      <c r="L475">
        <v>3</v>
      </c>
      <c r="M475">
        <v>0</v>
      </c>
      <c r="N475">
        <v>2</v>
      </c>
      <c r="O475">
        <v>1</v>
      </c>
      <c r="P475">
        <v>0</v>
      </c>
      <c r="Q475">
        <v>0</v>
      </c>
      <c r="S475" t="str">
        <f>"13:54:26.539"</f>
        <v>13:54:26.539</v>
      </c>
      <c r="T475" t="str">
        <f>"13:54:26.039"</f>
        <v>13:54:26.039</v>
      </c>
      <c r="U475" t="str">
        <f t="shared" si="25"/>
        <v>A92BC1</v>
      </c>
      <c r="V475">
        <v>0</v>
      </c>
      <c r="W475">
        <v>0</v>
      </c>
      <c r="X475">
        <v>2</v>
      </c>
      <c r="Z475">
        <v>0</v>
      </c>
      <c r="AA475">
        <v>9</v>
      </c>
      <c r="AB475">
        <v>3</v>
      </c>
      <c r="AC475">
        <v>0</v>
      </c>
      <c r="AD475">
        <v>10</v>
      </c>
      <c r="AE475">
        <v>0</v>
      </c>
      <c r="AF475">
        <v>3</v>
      </c>
      <c r="AG475">
        <v>2</v>
      </c>
      <c r="AH475">
        <v>0</v>
      </c>
      <c r="AI475" t="s">
        <v>576</v>
      </c>
      <c r="AJ475">
        <v>45.740976000000003</v>
      </c>
      <c r="AK475" t="s">
        <v>577</v>
      </c>
      <c r="AL475">
        <v>-89.362385000000003</v>
      </c>
      <c r="AM475">
        <v>100</v>
      </c>
      <c r="AN475">
        <v>9500</v>
      </c>
      <c r="AO475" t="s">
        <v>118</v>
      </c>
      <c r="AP475">
        <v>124</v>
      </c>
      <c r="AQ475">
        <v>113</v>
      </c>
      <c r="AR475">
        <v>2048</v>
      </c>
      <c r="AZ475">
        <v>1200</v>
      </c>
      <c r="BA475">
        <v>1</v>
      </c>
      <c r="BB475" t="str">
        <f t="shared" si="24"/>
        <v xml:space="preserve">N690LS  </v>
      </c>
      <c r="BC475">
        <v>1</v>
      </c>
      <c r="BE475">
        <v>0</v>
      </c>
      <c r="BF475">
        <v>0</v>
      </c>
      <c r="BG475">
        <v>0</v>
      </c>
      <c r="BH475">
        <v>9825</v>
      </c>
      <c r="BI475">
        <v>1</v>
      </c>
      <c r="BJ475">
        <v>1</v>
      </c>
      <c r="BK475">
        <v>1</v>
      </c>
      <c r="BL475">
        <v>0</v>
      </c>
      <c r="BO475">
        <v>0</v>
      </c>
      <c r="BP475">
        <v>0</v>
      </c>
      <c r="BW475" t="str">
        <f>"13:54:26.544"</f>
        <v>13:54:26.544</v>
      </c>
      <c r="CJ475">
        <v>0</v>
      </c>
      <c r="CK475">
        <v>2</v>
      </c>
      <c r="CL475">
        <v>0</v>
      </c>
      <c r="CM475">
        <v>2</v>
      </c>
      <c r="CN475">
        <v>0</v>
      </c>
      <c r="CO475">
        <v>7</v>
      </c>
      <c r="CP475" t="s">
        <v>119</v>
      </c>
      <c r="CQ475">
        <v>197</v>
      </c>
      <c r="CR475">
        <v>2</v>
      </c>
      <c r="CW475">
        <v>2300809</v>
      </c>
      <c r="CY475">
        <v>1</v>
      </c>
      <c r="CZ475">
        <v>0</v>
      </c>
      <c r="DA475">
        <v>0</v>
      </c>
      <c r="DB475">
        <v>0</v>
      </c>
      <c r="DC475">
        <v>0</v>
      </c>
      <c r="DD475">
        <v>0</v>
      </c>
      <c r="DE475">
        <v>0</v>
      </c>
      <c r="DF475">
        <v>0</v>
      </c>
      <c r="DG475">
        <v>0</v>
      </c>
      <c r="DH475">
        <v>0</v>
      </c>
      <c r="DI475">
        <v>0</v>
      </c>
    </row>
    <row r="476" spans="1:113" x14ac:dyDescent="0.3">
      <c r="A476" t="str">
        <f>"09/28/2021 13:54:26.775"</f>
        <v>09/28/2021 13:54:26.775</v>
      </c>
      <c r="C476" t="str">
        <f t="shared" si="23"/>
        <v>FFDFD3C0</v>
      </c>
      <c r="D476" t="s">
        <v>120</v>
      </c>
      <c r="E476">
        <v>12</v>
      </c>
      <c r="F476">
        <v>1012</v>
      </c>
      <c r="G476" t="s">
        <v>114</v>
      </c>
      <c r="J476" t="s">
        <v>121</v>
      </c>
      <c r="K476">
        <v>0</v>
      </c>
      <c r="L476">
        <v>3</v>
      </c>
      <c r="M476">
        <v>0</v>
      </c>
      <c r="N476">
        <v>2</v>
      </c>
      <c r="O476">
        <v>1</v>
      </c>
      <c r="P476">
        <v>0</v>
      </c>
      <c r="Q476">
        <v>0</v>
      </c>
      <c r="S476" t="str">
        <f>"13:54:26.539"</f>
        <v>13:54:26.539</v>
      </c>
      <c r="T476" t="str">
        <f>"13:54:26.039"</f>
        <v>13:54:26.039</v>
      </c>
      <c r="U476" t="str">
        <f t="shared" si="25"/>
        <v>A92BC1</v>
      </c>
      <c r="V476">
        <v>0</v>
      </c>
      <c r="W476">
        <v>0</v>
      </c>
      <c r="X476">
        <v>2</v>
      </c>
      <c r="Z476">
        <v>0</v>
      </c>
      <c r="AA476">
        <v>9</v>
      </c>
      <c r="AB476">
        <v>3</v>
      </c>
      <c r="AC476">
        <v>0</v>
      </c>
      <c r="AD476">
        <v>10</v>
      </c>
      <c r="AE476">
        <v>0</v>
      </c>
      <c r="AF476">
        <v>3</v>
      </c>
      <c r="AG476">
        <v>2</v>
      </c>
      <c r="AH476">
        <v>0</v>
      </c>
      <c r="AI476" t="s">
        <v>576</v>
      </c>
      <c r="AJ476">
        <v>45.740976000000003</v>
      </c>
      <c r="AK476" t="s">
        <v>577</v>
      </c>
      <c r="AL476">
        <v>-89.362385000000003</v>
      </c>
      <c r="AM476">
        <v>100</v>
      </c>
      <c r="AN476">
        <v>9500</v>
      </c>
      <c r="AO476" t="s">
        <v>118</v>
      </c>
      <c r="AP476">
        <v>124</v>
      </c>
      <c r="AQ476">
        <v>113</v>
      </c>
      <c r="AR476">
        <v>2048</v>
      </c>
      <c r="AZ476">
        <v>1200</v>
      </c>
      <c r="BA476">
        <v>1</v>
      </c>
      <c r="BB476" t="str">
        <f t="shared" si="24"/>
        <v xml:space="preserve">N690LS  </v>
      </c>
      <c r="BC476">
        <v>1</v>
      </c>
      <c r="BE476">
        <v>0</v>
      </c>
      <c r="BF476">
        <v>0</v>
      </c>
      <c r="BG476">
        <v>0</v>
      </c>
      <c r="BH476">
        <v>9825</v>
      </c>
      <c r="BI476">
        <v>1</v>
      </c>
      <c r="BJ476">
        <v>1</v>
      </c>
      <c r="BK476">
        <v>1</v>
      </c>
      <c r="BL476">
        <v>0</v>
      </c>
      <c r="BO476">
        <v>0</v>
      </c>
      <c r="BP476">
        <v>0</v>
      </c>
      <c r="BW476" t="str">
        <f>"13:54:26.544"</f>
        <v>13:54:26.544</v>
      </c>
      <c r="CJ476">
        <v>0</v>
      </c>
      <c r="CK476">
        <v>2</v>
      </c>
      <c r="CL476">
        <v>0</v>
      </c>
      <c r="CM476">
        <v>2</v>
      </c>
      <c r="CN476">
        <v>0</v>
      </c>
      <c r="CO476">
        <v>7</v>
      </c>
      <c r="CP476" t="s">
        <v>119</v>
      </c>
      <c r="CQ476">
        <v>197</v>
      </c>
      <c r="CR476">
        <v>2</v>
      </c>
      <c r="CW476">
        <v>2300809</v>
      </c>
      <c r="CY476">
        <v>1</v>
      </c>
      <c r="CZ476">
        <v>0</v>
      </c>
      <c r="DA476">
        <v>1</v>
      </c>
      <c r="DB476">
        <v>0</v>
      </c>
      <c r="DC476">
        <v>0</v>
      </c>
      <c r="DD476">
        <v>0</v>
      </c>
      <c r="DE476">
        <v>0</v>
      </c>
      <c r="DF476">
        <v>0</v>
      </c>
      <c r="DG476">
        <v>0</v>
      </c>
      <c r="DH476">
        <v>0</v>
      </c>
      <c r="DI476">
        <v>0</v>
      </c>
    </row>
    <row r="477" spans="1:113" x14ac:dyDescent="0.3">
      <c r="A477" t="str">
        <f>"09/28/2021 13:54:27.885"</f>
        <v>09/28/2021 13:54:27.885</v>
      </c>
      <c r="C477" t="str">
        <f t="shared" si="23"/>
        <v>FFDFD3C0</v>
      </c>
      <c r="D477" t="s">
        <v>113</v>
      </c>
      <c r="E477">
        <v>7</v>
      </c>
      <c r="H477">
        <v>170</v>
      </c>
      <c r="I477" t="s">
        <v>114</v>
      </c>
      <c r="J477" t="s">
        <v>115</v>
      </c>
      <c r="K477">
        <v>0</v>
      </c>
      <c r="L477">
        <v>3</v>
      </c>
      <c r="M477">
        <v>0</v>
      </c>
      <c r="N477">
        <v>2</v>
      </c>
      <c r="O477">
        <v>1</v>
      </c>
      <c r="P477">
        <v>0</v>
      </c>
      <c r="Q477">
        <v>0</v>
      </c>
      <c r="S477" t="str">
        <f>"13:54:27.680"</f>
        <v>13:54:27.680</v>
      </c>
      <c r="T477" t="str">
        <f>"13:54:27.180"</f>
        <v>13:54:27.180</v>
      </c>
      <c r="U477" t="str">
        <f t="shared" si="25"/>
        <v>A92BC1</v>
      </c>
      <c r="V477">
        <v>0</v>
      </c>
      <c r="W477">
        <v>0</v>
      </c>
      <c r="X477">
        <v>2</v>
      </c>
      <c r="Z477">
        <v>0</v>
      </c>
      <c r="AA477">
        <v>9</v>
      </c>
      <c r="AB477">
        <v>3</v>
      </c>
      <c r="AC477">
        <v>0</v>
      </c>
      <c r="AD477">
        <v>10</v>
      </c>
      <c r="AE477">
        <v>0</v>
      </c>
      <c r="AF477">
        <v>3</v>
      </c>
      <c r="AG477">
        <v>2</v>
      </c>
      <c r="AH477">
        <v>0</v>
      </c>
      <c r="AI477" t="s">
        <v>578</v>
      </c>
      <c r="AJ477">
        <v>45.741576999999999</v>
      </c>
      <c r="AK477" t="s">
        <v>579</v>
      </c>
      <c r="AL477">
        <v>-89.361484000000004</v>
      </c>
      <c r="AM477">
        <v>100</v>
      </c>
      <c r="AN477">
        <v>9600</v>
      </c>
      <c r="AO477" t="s">
        <v>118</v>
      </c>
      <c r="AP477">
        <v>124</v>
      </c>
      <c r="AQ477">
        <v>113</v>
      </c>
      <c r="AR477">
        <v>2048</v>
      </c>
      <c r="AZ477">
        <v>1200</v>
      </c>
      <c r="BA477">
        <v>1</v>
      </c>
      <c r="BB477" t="str">
        <f t="shared" si="24"/>
        <v xml:space="preserve">N690LS  </v>
      </c>
      <c r="BC477">
        <v>1</v>
      </c>
      <c r="BE477">
        <v>0</v>
      </c>
      <c r="BF477">
        <v>0</v>
      </c>
      <c r="BG477">
        <v>0</v>
      </c>
      <c r="BH477">
        <v>9850</v>
      </c>
      <c r="BI477">
        <v>1</v>
      </c>
      <c r="BJ477">
        <v>1</v>
      </c>
      <c r="BK477">
        <v>1</v>
      </c>
      <c r="BL477">
        <v>0</v>
      </c>
      <c r="BO477">
        <v>0</v>
      </c>
      <c r="BP477">
        <v>0</v>
      </c>
      <c r="BW477" t="str">
        <f>"13:54:27.680"</f>
        <v>13:54:27.680</v>
      </c>
      <c r="CJ477">
        <v>0</v>
      </c>
      <c r="CK477">
        <v>2</v>
      </c>
      <c r="CL477">
        <v>0</v>
      </c>
      <c r="CM477">
        <v>2</v>
      </c>
      <c r="CN477">
        <v>0</v>
      </c>
      <c r="CO477">
        <v>7</v>
      </c>
      <c r="CP477" t="s">
        <v>119</v>
      </c>
      <c r="CQ477">
        <v>197</v>
      </c>
      <c r="CR477">
        <v>1</v>
      </c>
      <c r="CW477">
        <v>7220676</v>
      </c>
      <c r="CY477">
        <v>1</v>
      </c>
      <c r="CZ477">
        <v>0</v>
      </c>
      <c r="DA477">
        <v>0</v>
      </c>
      <c r="DB477">
        <v>0</v>
      </c>
      <c r="DC477">
        <v>0</v>
      </c>
      <c r="DD477">
        <v>0</v>
      </c>
      <c r="DE477">
        <v>0</v>
      </c>
      <c r="DF477">
        <v>0</v>
      </c>
      <c r="DG477">
        <v>0</v>
      </c>
      <c r="DH477">
        <v>0</v>
      </c>
      <c r="DI477">
        <v>0</v>
      </c>
    </row>
    <row r="478" spans="1:113" x14ac:dyDescent="0.3">
      <c r="A478" t="str">
        <f>"09/28/2021 13:54:27.900"</f>
        <v>09/28/2021 13:54:27.900</v>
      </c>
      <c r="C478" t="str">
        <f t="shared" si="23"/>
        <v>FFDFD3C0</v>
      </c>
      <c r="D478" t="s">
        <v>120</v>
      </c>
      <c r="E478">
        <v>12</v>
      </c>
      <c r="F478">
        <v>1012</v>
      </c>
      <c r="G478" t="s">
        <v>114</v>
      </c>
      <c r="J478" t="s">
        <v>121</v>
      </c>
      <c r="K478">
        <v>0</v>
      </c>
      <c r="L478">
        <v>3</v>
      </c>
      <c r="M478">
        <v>0</v>
      </c>
      <c r="N478">
        <v>2</v>
      </c>
      <c r="O478">
        <v>1</v>
      </c>
      <c r="P478">
        <v>0</v>
      </c>
      <c r="Q478">
        <v>0</v>
      </c>
      <c r="S478" t="str">
        <f>"13:54:27.680"</f>
        <v>13:54:27.680</v>
      </c>
      <c r="T478" t="str">
        <f>"13:54:27.180"</f>
        <v>13:54:27.180</v>
      </c>
      <c r="U478" t="str">
        <f t="shared" si="25"/>
        <v>A92BC1</v>
      </c>
      <c r="V478">
        <v>0</v>
      </c>
      <c r="W478">
        <v>0</v>
      </c>
      <c r="X478">
        <v>2</v>
      </c>
      <c r="Z478">
        <v>0</v>
      </c>
      <c r="AA478">
        <v>9</v>
      </c>
      <c r="AB478">
        <v>3</v>
      </c>
      <c r="AC478">
        <v>0</v>
      </c>
      <c r="AD478">
        <v>10</v>
      </c>
      <c r="AE478">
        <v>0</v>
      </c>
      <c r="AF478">
        <v>3</v>
      </c>
      <c r="AG478">
        <v>2</v>
      </c>
      <c r="AH478">
        <v>0</v>
      </c>
      <c r="AI478" t="s">
        <v>578</v>
      </c>
      <c r="AJ478">
        <v>45.741576999999999</v>
      </c>
      <c r="AK478" t="s">
        <v>579</v>
      </c>
      <c r="AL478">
        <v>-89.361484000000004</v>
      </c>
      <c r="AM478">
        <v>100</v>
      </c>
      <c r="AN478">
        <v>9600</v>
      </c>
      <c r="AO478" t="s">
        <v>118</v>
      </c>
      <c r="AP478">
        <v>124</v>
      </c>
      <c r="AQ478">
        <v>113</v>
      </c>
      <c r="AR478">
        <v>2048</v>
      </c>
      <c r="AZ478">
        <v>1200</v>
      </c>
      <c r="BA478">
        <v>1</v>
      </c>
      <c r="BB478" t="str">
        <f t="shared" si="24"/>
        <v xml:space="preserve">N690LS  </v>
      </c>
      <c r="BC478">
        <v>1</v>
      </c>
      <c r="BE478">
        <v>0</v>
      </c>
      <c r="BF478">
        <v>0</v>
      </c>
      <c r="BG478">
        <v>0</v>
      </c>
      <c r="BH478">
        <v>9850</v>
      </c>
      <c r="BI478">
        <v>1</v>
      </c>
      <c r="BJ478">
        <v>1</v>
      </c>
      <c r="BK478">
        <v>1</v>
      </c>
      <c r="BL478">
        <v>0</v>
      </c>
      <c r="BO478">
        <v>0</v>
      </c>
      <c r="BP478">
        <v>0</v>
      </c>
      <c r="BW478" t="str">
        <f>"13:54:27.680"</f>
        <v>13:54:27.680</v>
      </c>
      <c r="CJ478">
        <v>0</v>
      </c>
      <c r="CK478">
        <v>2</v>
      </c>
      <c r="CL478">
        <v>0</v>
      </c>
      <c r="CM478">
        <v>2</v>
      </c>
      <c r="CN478">
        <v>0</v>
      </c>
      <c r="CO478">
        <v>7</v>
      </c>
      <c r="CP478" t="s">
        <v>119</v>
      </c>
      <c r="CQ478">
        <v>197</v>
      </c>
      <c r="CR478">
        <v>1</v>
      </c>
      <c r="CW478">
        <v>7220676</v>
      </c>
      <c r="CY478">
        <v>1</v>
      </c>
      <c r="CZ478">
        <v>0</v>
      </c>
      <c r="DA478">
        <v>1</v>
      </c>
      <c r="DB478">
        <v>0</v>
      </c>
      <c r="DC478">
        <v>0</v>
      </c>
      <c r="DD478">
        <v>0</v>
      </c>
      <c r="DE478">
        <v>0</v>
      </c>
      <c r="DF478">
        <v>0</v>
      </c>
      <c r="DG478">
        <v>0</v>
      </c>
      <c r="DH478">
        <v>0</v>
      </c>
      <c r="DI478">
        <v>0</v>
      </c>
    </row>
    <row r="479" spans="1:113" x14ac:dyDescent="0.3">
      <c r="A479" t="str">
        <f>"09/28/2021 13:54:28.828"</f>
        <v>09/28/2021 13:54:28.828</v>
      </c>
      <c r="C479" t="str">
        <f t="shared" si="23"/>
        <v>FFDFD3C0</v>
      </c>
      <c r="D479" t="s">
        <v>120</v>
      </c>
      <c r="E479">
        <v>12</v>
      </c>
      <c r="F479">
        <v>1012</v>
      </c>
      <c r="G479" t="s">
        <v>114</v>
      </c>
      <c r="J479" t="s">
        <v>121</v>
      </c>
      <c r="K479">
        <v>0</v>
      </c>
      <c r="L479">
        <v>3</v>
      </c>
      <c r="M479">
        <v>0</v>
      </c>
      <c r="N479">
        <v>2</v>
      </c>
      <c r="O479">
        <v>1</v>
      </c>
      <c r="P479">
        <v>0</v>
      </c>
      <c r="Q479">
        <v>0</v>
      </c>
      <c r="S479" t="str">
        <f>"13:54:28.563"</f>
        <v>13:54:28.563</v>
      </c>
      <c r="T479" t="str">
        <f>"13:54:28.163"</f>
        <v>13:54:28.163</v>
      </c>
      <c r="U479" t="str">
        <f t="shared" si="25"/>
        <v>A92BC1</v>
      </c>
      <c r="V479">
        <v>0</v>
      </c>
      <c r="W479">
        <v>0</v>
      </c>
      <c r="X479">
        <v>2</v>
      </c>
      <c r="Z479">
        <v>0</v>
      </c>
      <c r="AA479">
        <v>9</v>
      </c>
      <c r="AB479">
        <v>3</v>
      </c>
      <c r="AC479">
        <v>0</v>
      </c>
      <c r="AD479">
        <v>10</v>
      </c>
      <c r="AE479">
        <v>0</v>
      </c>
      <c r="AF479">
        <v>3</v>
      </c>
      <c r="AG479">
        <v>2</v>
      </c>
      <c r="AH479">
        <v>0</v>
      </c>
      <c r="AI479" t="s">
        <v>580</v>
      </c>
      <c r="AJ479">
        <v>45.742027999999998</v>
      </c>
      <c r="AK479" t="s">
        <v>581</v>
      </c>
      <c r="AL479">
        <v>-89.360776000000001</v>
      </c>
      <c r="AM479">
        <v>100</v>
      </c>
      <c r="AN479">
        <v>9600</v>
      </c>
      <c r="AO479" t="s">
        <v>118</v>
      </c>
      <c r="AP479">
        <v>123</v>
      </c>
      <c r="AQ479">
        <v>113</v>
      </c>
      <c r="AR479">
        <v>2048</v>
      </c>
      <c r="AZ479">
        <v>1200</v>
      </c>
      <c r="BA479">
        <v>1</v>
      </c>
      <c r="BB479" t="str">
        <f t="shared" si="24"/>
        <v xml:space="preserve">N690LS  </v>
      </c>
      <c r="BC479">
        <v>1</v>
      </c>
      <c r="BE479">
        <v>0</v>
      </c>
      <c r="BF479">
        <v>0</v>
      </c>
      <c r="BG479">
        <v>0</v>
      </c>
      <c r="BH479">
        <v>9875</v>
      </c>
      <c r="BI479">
        <v>1</v>
      </c>
      <c r="BJ479">
        <v>1</v>
      </c>
      <c r="BK479">
        <v>1</v>
      </c>
      <c r="BL479">
        <v>0</v>
      </c>
      <c r="BO479">
        <v>0</v>
      </c>
      <c r="BP479">
        <v>0</v>
      </c>
      <c r="BW479" t="str">
        <f>"13:54:28.566"</f>
        <v>13:54:28.566</v>
      </c>
      <c r="CJ479">
        <v>0</v>
      </c>
      <c r="CK479">
        <v>2</v>
      </c>
      <c r="CL479">
        <v>0</v>
      </c>
      <c r="CM479">
        <v>2</v>
      </c>
      <c r="CN479">
        <v>0</v>
      </c>
      <c r="CO479">
        <v>7</v>
      </c>
      <c r="CP479" t="s">
        <v>119</v>
      </c>
      <c r="CQ479">
        <v>197</v>
      </c>
      <c r="CR479">
        <v>2</v>
      </c>
      <c r="CW479">
        <v>2302614</v>
      </c>
      <c r="CY479">
        <v>1</v>
      </c>
      <c r="CZ479">
        <v>0</v>
      </c>
      <c r="DA479">
        <v>0</v>
      </c>
      <c r="DB479">
        <v>0</v>
      </c>
      <c r="DC479">
        <v>0</v>
      </c>
      <c r="DD479">
        <v>0</v>
      </c>
      <c r="DE479">
        <v>0</v>
      </c>
      <c r="DF479">
        <v>0</v>
      </c>
      <c r="DG479">
        <v>0</v>
      </c>
      <c r="DH479">
        <v>0</v>
      </c>
      <c r="DI479">
        <v>0</v>
      </c>
    </row>
    <row r="480" spans="1:113" x14ac:dyDescent="0.3">
      <c r="A480" t="str">
        <f>"09/28/2021 13:54:28.859"</f>
        <v>09/28/2021 13:54:28.859</v>
      </c>
      <c r="C480" t="str">
        <f t="shared" si="23"/>
        <v>FFDFD3C0</v>
      </c>
      <c r="D480" t="s">
        <v>113</v>
      </c>
      <c r="E480">
        <v>7</v>
      </c>
      <c r="H480">
        <v>170</v>
      </c>
      <c r="I480" t="s">
        <v>114</v>
      </c>
      <c r="J480" t="s">
        <v>115</v>
      </c>
      <c r="K480">
        <v>0</v>
      </c>
      <c r="L480">
        <v>3</v>
      </c>
      <c r="M480">
        <v>0</v>
      </c>
      <c r="N480">
        <v>2</v>
      </c>
      <c r="O480">
        <v>1</v>
      </c>
      <c r="P480">
        <v>0</v>
      </c>
      <c r="Q480">
        <v>0</v>
      </c>
      <c r="S480" t="str">
        <f>"13:54:28.563"</f>
        <v>13:54:28.563</v>
      </c>
      <c r="T480" t="str">
        <f>"13:54:28.163"</f>
        <v>13:54:28.163</v>
      </c>
      <c r="U480" t="str">
        <f t="shared" si="25"/>
        <v>A92BC1</v>
      </c>
      <c r="V480">
        <v>0</v>
      </c>
      <c r="W480">
        <v>0</v>
      </c>
      <c r="X480">
        <v>2</v>
      </c>
      <c r="Z480">
        <v>0</v>
      </c>
      <c r="AA480">
        <v>9</v>
      </c>
      <c r="AB480">
        <v>3</v>
      </c>
      <c r="AC480">
        <v>0</v>
      </c>
      <c r="AD480">
        <v>10</v>
      </c>
      <c r="AE480">
        <v>0</v>
      </c>
      <c r="AF480">
        <v>3</v>
      </c>
      <c r="AG480">
        <v>2</v>
      </c>
      <c r="AH480">
        <v>0</v>
      </c>
      <c r="AI480" t="s">
        <v>580</v>
      </c>
      <c r="AJ480">
        <v>45.742027999999998</v>
      </c>
      <c r="AK480" t="s">
        <v>581</v>
      </c>
      <c r="AL480">
        <v>-89.360776000000001</v>
      </c>
      <c r="AM480">
        <v>100</v>
      </c>
      <c r="AN480">
        <v>9600</v>
      </c>
      <c r="AO480" t="s">
        <v>118</v>
      </c>
      <c r="AP480">
        <v>123</v>
      </c>
      <c r="AQ480">
        <v>113</v>
      </c>
      <c r="AR480">
        <v>2048</v>
      </c>
      <c r="AZ480">
        <v>1200</v>
      </c>
      <c r="BA480">
        <v>1</v>
      </c>
      <c r="BB480" t="str">
        <f t="shared" si="24"/>
        <v xml:space="preserve">N690LS  </v>
      </c>
      <c r="BC480">
        <v>1</v>
      </c>
      <c r="BE480">
        <v>0</v>
      </c>
      <c r="BF480">
        <v>0</v>
      </c>
      <c r="BG480">
        <v>0</v>
      </c>
      <c r="BH480">
        <v>9875</v>
      </c>
      <c r="BI480">
        <v>1</v>
      </c>
      <c r="BJ480">
        <v>1</v>
      </c>
      <c r="BK480">
        <v>1</v>
      </c>
      <c r="BL480">
        <v>0</v>
      </c>
      <c r="BO480">
        <v>0</v>
      </c>
      <c r="BP480">
        <v>0</v>
      </c>
      <c r="BW480" t="str">
        <f>"13:54:28.566"</f>
        <v>13:54:28.566</v>
      </c>
      <c r="CJ480">
        <v>0</v>
      </c>
      <c r="CK480">
        <v>2</v>
      </c>
      <c r="CL480">
        <v>0</v>
      </c>
      <c r="CM480">
        <v>2</v>
      </c>
      <c r="CN480">
        <v>0</v>
      </c>
      <c r="CO480">
        <v>7</v>
      </c>
      <c r="CP480" t="s">
        <v>119</v>
      </c>
      <c r="CQ480">
        <v>197</v>
      </c>
      <c r="CR480">
        <v>2</v>
      </c>
      <c r="CW480">
        <v>2302614</v>
      </c>
      <c r="CY480">
        <v>1</v>
      </c>
      <c r="CZ480">
        <v>0</v>
      </c>
      <c r="DA480">
        <v>1</v>
      </c>
      <c r="DB480">
        <v>0</v>
      </c>
      <c r="DC480">
        <v>0</v>
      </c>
      <c r="DD480">
        <v>0</v>
      </c>
      <c r="DE480">
        <v>0</v>
      </c>
      <c r="DF480">
        <v>0</v>
      </c>
      <c r="DG480">
        <v>0</v>
      </c>
      <c r="DH480">
        <v>0</v>
      </c>
      <c r="DI480">
        <v>0</v>
      </c>
    </row>
    <row r="481" spans="1:113" x14ac:dyDescent="0.3">
      <c r="A481" t="str">
        <f>"09/28/2021 13:54:29.749"</f>
        <v>09/28/2021 13:54:29.749</v>
      </c>
      <c r="C481" t="str">
        <f t="shared" si="23"/>
        <v>FFDFD3C0</v>
      </c>
      <c r="D481" t="s">
        <v>113</v>
      </c>
      <c r="E481">
        <v>7</v>
      </c>
      <c r="H481">
        <v>170</v>
      </c>
      <c r="I481" t="s">
        <v>114</v>
      </c>
      <c r="J481" t="s">
        <v>115</v>
      </c>
      <c r="K481">
        <v>0</v>
      </c>
      <c r="L481">
        <v>3</v>
      </c>
      <c r="M481">
        <v>0</v>
      </c>
      <c r="N481">
        <v>2</v>
      </c>
      <c r="O481">
        <v>1</v>
      </c>
      <c r="P481">
        <v>0</v>
      </c>
      <c r="Q481">
        <v>0</v>
      </c>
      <c r="S481" t="str">
        <f>"13:54:29.539"</f>
        <v>13:54:29.539</v>
      </c>
      <c r="T481" t="str">
        <f>"13:54:29.139"</f>
        <v>13:54:29.139</v>
      </c>
      <c r="U481" t="str">
        <f t="shared" si="25"/>
        <v>A92BC1</v>
      </c>
      <c r="V481">
        <v>0</v>
      </c>
      <c r="W481">
        <v>0</v>
      </c>
      <c r="X481">
        <v>2</v>
      </c>
      <c r="Z481">
        <v>0</v>
      </c>
      <c r="AA481">
        <v>9</v>
      </c>
      <c r="AB481">
        <v>3</v>
      </c>
      <c r="AC481">
        <v>0</v>
      </c>
      <c r="AD481">
        <v>10</v>
      </c>
      <c r="AE481">
        <v>0</v>
      </c>
      <c r="AF481">
        <v>3</v>
      </c>
      <c r="AG481">
        <v>2</v>
      </c>
      <c r="AH481">
        <v>0</v>
      </c>
      <c r="AI481" t="s">
        <v>582</v>
      </c>
      <c r="AJ481">
        <v>45.742586000000003</v>
      </c>
      <c r="AK481" t="s">
        <v>583</v>
      </c>
      <c r="AL481">
        <v>-89.359917999999993</v>
      </c>
      <c r="AM481">
        <v>100</v>
      </c>
      <c r="AN481">
        <v>9600</v>
      </c>
      <c r="AO481" t="s">
        <v>118</v>
      </c>
      <c r="AP481">
        <v>123</v>
      </c>
      <c r="AQ481">
        <v>113</v>
      </c>
      <c r="AR481">
        <v>2048</v>
      </c>
      <c r="AZ481">
        <v>1200</v>
      </c>
      <c r="BA481">
        <v>1</v>
      </c>
      <c r="BB481" t="str">
        <f t="shared" si="24"/>
        <v xml:space="preserve">N690LS  </v>
      </c>
      <c r="BC481">
        <v>1</v>
      </c>
      <c r="BE481">
        <v>0</v>
      </c>
      <c r="BF481">
        <v>0</v>
      </c>
      <c r="BG481">
        <v>0</v>
      </c>
      <c r="BH481">
        <v>9925</v>
      </c>
      <c r="BI481">
        <v>1</v>
      </c>
      <c r="BJ481">
        <v>1</v>
      </c>
      <c r="BK481">
        <v>1</v>
      </c>
      <c r="BL481">
        <v>0</v>
      </c>
      <c r="BO481">
        <v>0</v>
      </c>
      <c r="BP481">
        <v>0</v>
      </c>
      <c r="BW481" t="str">
        <f>"13:54:29.544"</f>
        <v>13:54:29.544</v>
      </c>
      <c r="CJ481">
        <v>0</v>
      </c>
      <c r="CK481">
        <v>2</v>
      </c>
      <c r="CL481">
        <v>0</v>
      </c>
      <c r="CM481">
        <v>2</v>
      </c>
      <c r="CN481">
        <v>0</v>
      </c>
      <c r="CO481">
        <v>7</v>
      </c>
      <c r="CP481" t="s">
        <v>119</v>
      </c>
      <c r="CQ481">
        <v>197</v>
      </c>
      <c r="CR481">
        <v>2</v>
      </c>
      <c r="CW481">
        <v>2303509</v>
      </c>
      <c r="CY481">
        <v>1</v>
      </c>
      <c r="CZ481">
        <v>0</v>
      </c>
      <c r="DA481">
        <v>0</v>
      </c>
      <c r="DB481">
        <v>0</v>
      </c>
      <c r="DC481">
        <v>0</v>
      </c>
      <c r="DD481">
        <v>0</v>
      </c>
      <c r="DE481">
        <v>0</v>
      </c>
      <c r="DF481">
        <v>0</v>
      </c>
      <c r="DG481">
        <v>0</v>
      </c>
      <c r="DH481">
        <v>0</v>
      </c>
      <c r="DI481">
        <v>0</v>
      </c>
    </row>
    <row r="482" spans="1:113" x14ac:dyDescent="0.3">
      <c r="A482" t="str">
        <f>"09/28/2021 13:54:29.796"</f>
        <v>09/28/2021 13:54:29.796</v>
      </c>
      <c r="C482" t="str">
        <f t="shared" si="23"/>
        <v>FFDFD3C0</v>
      </c>
      <c r="D482" t="s">
        <v>120</v>
      </c>
      <c r="E482">
        <v>12</v>
      </c>
      <c r="F482">
        <v>1012</v>
      </c>
      <c r="G482" t="s">
        <v>114</v>
      </c>
      <c r="J482" t="s">
        <v>121</v>
      </c>
      <c r="K482">
        <v>0</v>
      </c>
      <c r="L482">
        <v>3</v>
      </c>
      <c r="M482">
        <v>0</v>
      </c>
      <c r="N482">
        <v>2</v>
      </c>
      <c r="O482">
        <v>1</v>
      </c>
      <c r="P482">
        <v>0</v>
      </c>
      <c r="Q482">
        <v>0</v>
      </c>
      <c r="S482" t="str">
        <f>"13:54:29.539"</f>
        <v>13:54:29.539</v>
      </c>
      <c r="T482" t="str">
        <f>"13:54:29.139"</f>
        <v>13:54:29.139</v>
      </c>
      <c r="U482" t="str">
        <f t="shared" si="25"/>
        <v>A92BC1</v>
      </c>
      <c r="V482">
        <v>0</v>
      </c>
      <c r="W482">
        <v>0</v>
      </c>
      <c r="X482">
        <v>2</v>
      </c>
      <c r="Z482">
        <v>0</v>
      </c>
      <c r="AA482">
        <v>9</v>
      </c>
      <c r="AB482">
        <v>3</v>
      </c>
      <c r="AC482">
        <v>0</v>
      </c>
      <c r="AD482">
        <v>10</v>
      </c>
      <c r="AE482">
        <v>0</v>
      </c>
      <c r="AF482">
        <v>3</v>
      </c>
      <c r="AG482">
        <v>2</v>
      </c>
      <c r="AH482">
        <v>0</v>
      </c>
      <c r="AI482" t="s">
        <v>582</v>
      </c>
      <c r="AJ482">
        <v>45.742586000000003</v>
      </c>
      <c r="AK482" t="s">
        <v>583</v>
      </c>
      <c r="AL482">
        <v>-89.359917999999993</v>
      </c>
      <c r="AM482">
        <v>100</v>
      </c>
      <c r="AN482">
        <v>9600</v>
      </c>
      <c r="AO482" t="s">
        <v>118</v>
      </c>
      <c r="AP482">
        <v>123</v>
      </c>
      <c r="AQ482">
        <v>113</v>
      </c>
      <c r="AR482">
        <v>2048</v>
      </c>
      <c r="AZ482">
        <v>1200</v>
      </c>
      <c r="BA482">
        <v>1</v>
      </c>
      <c r="BB482" t="str">
        <f t="shared" si="24"/>
        <v xml:space="preserve">N690LS  </v>
      </c>
      <c r="BC482">
        <v>1</v>
      </c>
      <c r="BE482">
        <v>0</v>
      </c>
      <c r="BF482">
        <v>0</v>
      </c>
      <c r="BG482">
        <v>0</v>
      </c>
      <c r="BH482">
        <v>9925</v>
      </c>
      <c r="BI482">
        <v>1</v>
      </c>
      <c r="BJ482">
        <v>1</v>
      </c>
      <c r="BK482">
        <v>1</v>
      </c>
      <c r="BL482">
        <v>0</v>
      </c>
      <c r="BO482">
        <v>0</v>
      </c>
      <c r="BP482">
        <v>0</v>
      </c>
      <c r="BW482" t="str">
        <f>"13:54:29.544"</f>
        <v>13:54:29.544</v>
      </c>
      <c r="CJ482">
        <v>0</v>
      </c>
      <c r="CK482">
        <v>2</v>
      </c>
      <c r="CL482">
        <v>0</v>
      </c>
      <c r="CM482">
        <v>2</v>
      </c>
      <c r="CN482">
        <v>0</v>
      </c>
      <c r="CO482">
        <v>7</v>
      </c>
      <c r="CP482" t="s">
        <v>119</v>
      </c>
      <c r="CQ482">
        <v>197</v>
      </c>
      <c r="CR482">
        <v>2</v>
      </c>
      <c r="CW482">
        <v>2303509</v>
      </c>
      <c r="CY482">
        <v>1</v>
      </c>
      <c r="CZ482">
        <v>0</v>
      </c>
      <c r="DA482">
        <v>1</v>
      </c>
      <c r="DB482">
        <v>0</v>
      </c>
      <c r="DC482">
        <v>0</v>
      </c>
      <c r="DD482">
        <v>0</v>
      </c>
      <c r="DE482">
        <v>0</v>
      </c>
      <c r="DF482">
        <v>0</v>
      </c>
      <c r="DG482">
        <v>0</v>
      </c>
      <c r="DH482">
        <v>0</v>
      </c>
      <c r="DI482">
        <v>0</v>
      </c>
    </row>
    <row r="483" spans="1:113" x14ac:dyDescent="0.3">
      <c r="A483" t="str">
        <f>"09/28/2021 13:54:30.609"</f>
        <v>09/28/2021 13:54:30.609</v>
      </c>
      <c r="C483" t="str">
        <f t="shared" si="23"/>
        <v>FFDFD3C0</v>
      </c>
      <c r="D483" t="s">
        <v>113</v>
      </c>
      <c r="E483">
        <v>7</v>
      </c>
      <c r="H483">
        <v>170</v>
      </c>
      <c r="I483" t="s">
        <v>114</v>
      </c>
      <c r="J483" t="s">
        <v>115</v>
      </c>
      <c r="K483">
        <v>0</v>
      </c>
      <c r="L483">
        <v>3</v>
      </c>
      <c r="M483">
        <v>0</v>
      </c>
      <c r="N483">
        <v>2</v>
      </c>
      <c r="O483">
        <v>1</v>
      </c>
      <c r="P483">
        <v>0</v>
      </c>
      <c r="Q483">
        <v>0</v>
      </c>
      <c r="S483" t="str">
        <f>"13:54:30.422"</f>
        <v>13:54:30.422</v>
      </c>
      <c r="T483" t="str">
        <f>"13:54:30.022"</f>
        <v>13:54:30.022</v>
      </c>
      <c r="U483" t="str">
        <f t="shared" si="25"/>
        <v>A92BC1</v>
      </c>
      <c r="V483">
        <v>0</v>
      </c>
      <c r="W483">
        <v>0</v>
      </c>
      <c r="X483">
        <v>2</v>
      </c>
      <c r="Z483">
        <v>0</v>
      </c>
      <c r="AA483">
        <v>9</v>
      </c>
      <c r="AB483">
        <v>3</v>
      </c>
      <c r="AC483">
        <v>0</v>
      </c>
      <c r="AD483">
        <v>10</v>
      </c>
      <c r="AE483">
        <v>0</v>
      </c>
      <c r="AF483">
        <v>3</v>
      </c>
      <c r="AG483">
        <v>2</v>
      </c>
      <c r="AH483">
        <v>0</v>
      </c>
      <c r="AI483" t="s">
        <v>584</v>
      </c>
      <c r="AJ483">
        <v>45.743015</v>
      </c>
      <c r="AK483" t="s">
        <v>585</v>
      </c>
      <c r="AL483">
        <v>-89.359230999999994</v>
      </c>
      <c r="AM483">
        <v>100</v>
      </c>
      <c r="AN483">
        <v>9700</v>
      </c>
      <c r="AO483" t="s">
        <v>118</v>
      </c>
      <c r="AP483">
        <v>123</v>
      </c>
      <c r="AQ483">
        <v>113</v>
      </c>
      <c r="AR483">
        <v>2048</v>
      </c>
      <c r="AZ483">
        <v>1200</v>
      </c>
      <c r="BA483">
        <v>1</v>
      </c>
      <c r="BB483" t="str">
        <f t="shared" si="24"/>
        <v xml:space="preserve">N690LS  </v>
      </c>
      <c r="BC483">
        <v>1</v>
      </c>
      <c r="BE483">
        <v>0</v>
      </c>
      <c r="BF483">
        <v>0</v>
      </c>
      <c r="BG483">
        <v>0</v>
      </c>
      <c r="BH483">
        <v>9950</v>
      </c>
      <c r="BI483">
        <v>1</v>
      </c>
      <c r="BJ483">
        <v>1</v>
      </c>
      <c r="BK483">
        <v>1</v>
      </c>
      <c r="BL483">
        <v>0</v>
      </c>
      <c r="BO483">
        <v>0</v>
      </c>
      <c r="BP483">
        <v>0</v>
      </c>
      <c r="BW483" t="str">
        <f>"13:54:30.424"</f>
        <v>13:54:30.424</v>
      </c>
      <c r="CJ483">
        <v>0</v>
      </c>
      <c r="CK483">
        <v>2</v>
      </c>
      <c r="CL483">
        <v>0</v>
      </c>
      <c r="CM483">
        <v>2</v>
      </c>
      <c r="CN483">
        <v>0</v>
      </c>
      <c r="CO483">
        <v>7</v>
      </c>
      <c r="CP483" t="s">
        <v>119</v>
      </c>
      <c r="CQ483">
        <v>197</v>
      </c>
      <c r="CR483">
        <v>2</v>
      </c>
      <c r="CW483">
        <v>2304331</v>
      </c>
      <c r="CY483">
        <v>1</v>
      </c>
      <c r="CZ483">
        <v>0</v>
      </c>
      <c r="DA483">
        <v>0</v>
      </c>
      <c r="DB483">
        <v>0</v>
      </c>
      <c r="DC483">
        <v>0</v>
      </c>
      <c r="DD483">
        <v>0</v>
      </c>
      <c r="DE483">
        <v>0</v>
      </c>
      <c r="DF483">
        <v>0</v>
      </c>
      <c r="DG483">
        <v>0</v>
      </c>
      <c r="DH483">
        <v>0</v>
      </c>
      <c r="DI483">
        <v>0</v>
      </c>
    </row>
    <row r="484" spans="1:113" x14ac:dyDescent="0.3">
      <c r="A484" t="str">
        <f>"09/28/2021 13:54:30.625"</f>
        <v>09/28/2021 13:54:30.625</v>
      </c>
      <c r="C484" t="str">
        <f t="shared" si="23"/>
        <v>FFDFD3C0</v>
      </c>
      <c r="D484" t="s">
        <v>120</v>
      </c>
      <c r="E484">
        <v>12</v>
      </c>
      <c r="F484">
        <v>1012</v>
      </c>
      <c r="G484" t="s">
        <v>114</v>
      </c>
      <c r="J484" t="s">
        <v>121</v>
      </c>
      <c r="K484">
        <v>0</v>
      </c>
      <c r="L484">
        <v>3</v>
      </c>
      <c r="M484">
        <v>0</v>
      </c>
      <c r="N484">
        <v>2</v>
      </c>
      <c r="O484">
        <v>1</v>
      </c>
      <c r="P484">
        <v>0</v>
      </c>
      <c r="Q484">
        <v>0</v>
      </c>
      <c r="S484" t="str">
        <f>"13:54:30.422"</f>
        <v>13:54:30.422</v>
      </c>
      <c r="T484" t="str">
        <f>"13:54:30.022"</f>
        <v>13:54:30.022</v>
      </c>
      <c r="U484" t="str">
        <f t="shared" si="25"/>
        <v>A92BC1</v>
      </c>
      <c r="V484">
        <v>0</v>
      </c>
      <c r="W484">
        <v>0</v>
      </c>
      <c r="X484">
        <v>2</v>
      </c>
      <c r="Z484">
        <v>0</v>
      </c>
      <c r="AA484">
        <v>9</v>
      </c>
      <c r="AB484">
        <v>3</v>
      </c>
      <c r="AC484">
        <v>0</v>
      </c>
      <c r="AD484">
        <v>10</v>
      </c>
      <c r="AE484">
        <v>0</v>
      </c>
      <c r="AF484">
        <v>3</v>
      </c>
      <c r="AG484">
        <v>2</v>
      </c>
      <c r="AH484">
        <v>0</v>
      </c>
      <c r="AI484" t="s">
        <v>584</v>
      </c>
      <c r="AJ484">
        <v>45.743015</v>
      </c>
      <c r="AK484" t="s">
        <v>585</v>
      </c>
      <c r="AL484">
        <v>-89.359230999999994</v>
      </c>
      <c r="AM484">
        <v>100</v>
      </c>
      <c r="AN484">
        <v>9700</v>
      </c>
      <c r="AO484" t="s">
        <v>118</v>
      </c>
      <c r="AP484">
        <v>123</v>
      </c>
      <c r="AQ484">
        <v>113</v>
      </c>
      <c r="AR484">
        <v>2048</v>
      </c>
      <c r="AZ484">
        <v>1200</v>
      </c>
      <c r="BA484">
        <v>1</v>
      </c>
      <c r="BB484" t="str">
        <f t="shared" si="24"/>
        <v xml:space="preserve">N690LS  </v>
      </c>
      <c r="BC484">
        <v>1</v>
      </c>
      <c r="BE484">
        <v>0</v>
      </c>
      <c r="BF484">
        <v>0</v>
      </c>
      <c r="BG484">
        <v>0</v>
      </c>
      <c r="BH484">
        <v>9950</v>
      </c>
      <c r="BI484">
        <v>1</v>
      </c>
      <c r="BJ484">
        <v>1</v>
      </c>
      <c r="BK484">
        <v>1</v>
      </c>
      <c r="BL484">
        <v>0</v>
      </c>
      <c r="BO484">
        <v>0</v>
      </c>
      <c r="BP484">
        <v>0</v>
      </c>
      <c r="BW484" t="str">
        <f>"13:54:30.424"</f>
        <v>13:54:30.424</v>
      </c>
      <c r="CJ484">
        <v>0</v>
      </c>
      <c r="CK484">
        <v>2</v>
      </c>
      <c r="CL484">
        <v>0</v>
      </c>
      <c r="CM484">
        <v>2</v>
      </c>
      <c r="CN484">
        <v>0</v>
      </c>
      <c r="CO484">
        <v>7</v>
      </c>
      <c r="CP484" t="s">
        <v>119</v>
      </c>
      <c r="CQ484">
        <v>197</v>
      </c>
      <c r="CR484">
        <v>2</v>
      </c>
      <c r="CW484">
        <v>2304331</v>
      </c>
      <c r="CY484">
        <v>1</v>
      </c>
      <c r="CZ484">
        <v>0</v>
      </c>
      <c r="DA484">
        <v>1</v>
      </c>
      <c r="DB484">
        <v>0</v>
      </c>
      <c r="DC484">
        <v>0</v>
      </c>
      <c r="DD484">
        <v>0</v>
      </c>
      <c r="DE484">
        <v>0</v>
      </c>
      <c r="DF484">
        <v>0</v>
      </c>
      <c r="DG484">
        <v>0</v>
      </c>
      <c r="DH484">
        <v>0</v>
      </c>
      <c r="DI484">
        <v>0</v>
      </c>
    </row>
    <row r="485" spans="1:113" x14ac:dyDescent="0.3">
      <c r="A485" t="str">
        <f>"09/28/2021 13:54:31.619"</f>
        <v>09/28/2021 13:54:31.619</v>
      </c>
      <c r="C485" t="str">
        <f t="shared" si="23"/>
        <v>FFDFD3C0</v>
      </c>
      <c r="D485" t="s">
        <v>120</v>
      </c>
      <c r="E485">
        <v>12</v>
      </c>
      <c r="F485">
        <v>1012</v>
      </c>
      <c r="G485" t="s">
        <v>114</v>
      </c>
      <c r="J485" t="s">
        <v>121</v>
      </c>
      <c r="K485">
        <v>0</v>
      </c>
      <c r="L485">
        <v>3</v>
      </c>
      <c r="M485">
        <v>0</v>
      </c>
      <c r="N485">
        <v>2</v>
      </c>
      <c r="O485">
        <v>1</v>
      </c>
      <c r="P485">
        <v>0</v>
      </c>
      <c r="Q485">
        <v>0</v>
      </c>
      <c r="S485" t="str">
        <f>"13:54:31.438"</f>
        <v>13:54:31.438</v>
      </c>
      <c r="T485" t="str">
        <f>"13:54:30.938"</f>
        <v>13:54:30.938</v>
      </c>
      <c r="U485" t="str">
        <f t="shared" si="25"/>
        <v>A92BC1</v>
      </c>
      <c r="V485">
        <v>0</v>
      </c>
      <c r="W485">
        <v>0</v>
      </c>
      <c r="X485">
        <v>2</v>
      </c>
      <c r="Z485">
        <v>0</v>
      </c>
      <c r="AA485">
        <v>9</v>
      </c>
      <c r="AB485">
        <v>3</v>
      </c>
      <c r="AC485">
        <v>0</v>
      </c>
      <c r="AD485">
        <v>10</v>
      </c>
      <c r="AE485">
        <v>0</v>
      </c>
      <c r="AF485">
        <v>3</v>
      </c>
      <c r="AG485">
        <v>2</v>
      </c>
      <c r="AH485">
        <v>0</v>
      </c>
      <c r="AI485" t="s">
        <v>586</v>
      </c>
      <c r="AJ485">
        <v>45.743572999999998</v>
      </c>
      <c r="AK485" t="s">
        <v>587</v>
      </c>
      <c r="AL485">
        <v>-89.358394000000004</v>
      </c>
      <c r="AM485">
        <v>100</v>
      </c>
      <c r="AN485">
        <v>9700</v>
      </c>
      <c r="AO485" t="s">
        <v>118</v>
      </c>
      <c r="AP485">
        <v>123</v>
      </c>
      <c r="AQ485">
        <v>113</v>
      </c>
      <c r="AR485">
        <v>2048</v>
      </c>
      <c r="AZ485">
        <v>1200</v>
      </c>
      <c r="BA485">
        <v>1</v>
      </c>
      <c r="BB485" t="str">
        <f t="shared" si="24"/>
        <v xml:space="preserve">N690LS  </v>
      </c>
      <c r="BC485">
        <v>1</v>
      </c>
      <c r="BE485">
        <v>0</v>
      </c>
      <c r="BF485">
        <v>0</v>
      </c>
      <c r="BG485">
        <v>0</v>
      </c>
      <c r="BH485">
        <v>9975</v>
      </c>
      <c r="BI485">
        <v>1</v>
      </c>
      <c r="BJ485">
        <v>1</v>
      </c>
      <c r="BK485">
        <v>1</v>
      </c>
      <c r="BL485">
        <v>0</v>
      </c>
      <c r="BO485">
        <v>0</v>
      </c>
      <c r="BP485">
        <v>0</v>
      </c>
      <c r="BW485" t="str">
        <f>"13:54:31.445"</f>
        <v>13:54:31.445</v>
      </c>
      <c r="CJ485">
        <v>0</v>
      </c>
      <c r="CK485">
        <v>2</v>
      </c>
      <c r="CL485">
        <v>0</v>
      </c>
      <c r="CM485">
        <v>2</v>
      </c>
      <c r="CN485">
        <v>0</v>
      </c>
      <c r="CO485">
        <v>7</v>
      </c>
      <c r="CP485" t="s">
        <v>119</v>
      </c>
      <c r="CQ485">
        <v>197</v>
      </c>
      <c r="CR485">
        <v>2</v>
      </c>
      <c r="CW485">
        <v>2305225</v>
      </c>
      <c r="CY485">
        <v>1</v>
      </c>
      <c r="CZ485">
        <v>0</v>
      </c>
      <c r="DA485">
        <v>0</v>
      </c>
      <c r="DB485">
        <v>0</v>
      </c>
      <c r="DC485">
        <v>0</v>
      </c>
      <c r="DD485">
        <v>0</v>
      </c>
      <c r="DE485">
        <v>0</v>
      </c>
      <c r="DF485">
        <v>0</v>
      </c>
      <c r="DG485">
        <v>0</v>
      </c>
      <c r="DH485">
        <v>0</v>
      </c>
      <c r="DI485">
        <v>0</v>
      </c>
    </row>
    <row r="486" spans="1:113" x14ac:dyDescent="0.3">
      <c r="A486" t="str">
        <f>"09/28/2021 13:54:31.682"</f>
        <v>09/28/2021 13:54:31.682</v>
      </c>
      <c r="C486" t="str">
        <f t="shared" si="23"/>
        <v>FFDFD3C0</v>
      </c>
      <c r="D486" t="s">
        <v>113</v>
      </c>
      <c r="E486">
        <v>7</v>
      </c>
      <c r="H486">
        <v>170</v>
      </c>
      <c r="I486" t="s">
        <v>114</v>
      </c>
      <c r="J486" t="s">
        <v>115</v>
      </c>
      <c r="K486">
        <v>0</v>
      </c>
      <c r="L486">
        <v>3</v>
      </c>
      <c r="M486">
        <v>0</v>
      </c>
      <c r="N486">
        <v>2</v>
      </c>
      <c r="O486">
        <v>1</v>
      </c>
      <c r="P486">
        <v>0</v>
      </c>
      <c r="Q486">
        <v>0</v>
      </c>
      <c r="S486" t="str">
        <f>"13:54:31.438"</f>
        <v>13:54:31.438</v>
      </c>
      <c r="T486" t="str">
        <f>"13:54:30.938"</f>
        <v>13:54:30.938</v>
      </c>
      <c r="U486" t="str">
        <f t="shared" si="25"/>
        <v>A92BC1</v>
      </c>
      <c r="V486">
        <v>0</v>
      </c>
      <c r="W486">
        <v>0</v>
      </c>
      <c r="X486">
        <v>2</v>
      </c>
      <c r="Z486">
        <v>0</v>
      </c>
      <c r="AA486">
        <v>9</v>
      </c>
      <c r="AB486">
        <v>3</v>
      </c>
      <c r="AC486">
        <v>0</v>
      </c>
      <c r="AD486">
        <v>10</v>
      </c>
      <c r="AE486">
        <v>0</v>
      </c>
      <c r="AF486">
        <v>3</v>
      </c>
      <c r="AG486">
        <v>2</v>
      </c>
      <c r="AH486">
        <v>0</v>
      </c>
      <c r="AI486" t="s">
        <v>586</v>
      </c>
      <c r="AJ486">
        <v>45.743572999999998</v>
      </c>
      <c r="AK486" t="s">
        <v>587</v>
      </c>
      <c r="AL486">
        <v>-89.358394000000004</v>
      </c>
      <c r="AM486">
        <v>100</v>
      </c>
      <c r="AN486">
        <v>9700</v>
      </c>
      <c r="AO486" t="s">
        <v>118</v>
      </c>
      <c r="AP486">
        <v>123</v>
      </c>
      <c r="AQ486">
        <v>113</v>
      </c>
      <c r="AR486">
        <v>2048</v>
      </c>
      <c r="AZ486">
        <v>1200</v>
      </c>
      <c r="BA486">
        <v>1</v>
      </c>
      <c r="BB486" t="str">
        <f t="shared" si="24"/>
        <v xml:space="preserve">N690LS  </v>
      </c>
      <c r="BC486">
        <v>1</v>
      </c>
      <c r="BE486">
        <v>0</v>
      </c>
      <c r="BF486">
        <v>0</v>
      </c>
      <c r="BG486">
        <v>0</v>
      </c>
      <c r="BH486">
        <v>9975</v>
      </c>
      <c r="BI486">
        <v>1</v>
      </c>
      <c r="BJ486">
        <v>1</v>
      </c>
      <c r="BK486">
        <v>1</v>
      </c>
      <c r="BL486">
        <v>0</v>
      </c>
      <c r="BO486">
        <v>0</v>
      </c>
      <c r="BP486">
        <v>0</v>
      </c>
      <c r="BW486" t="str">
        <f>"13:54:31.445"</f>
        <v>13:54:31.445</v>
      </c>
      <c r="CJ486">
        <v>0</v>
      </c>
      <c r="CK486">
        <v>2</v>
      </c>
      <c r="CL486">
        <v>0</v>
      </c>
      <c r="CM486">
        <v>2</v>
      </c>
      <c r="CN486">
        <v>0</v>
      </c>
      <c r="CO486">
        <v>7</v>
      </c>
      <c r="CP486" t="s">
        <v>119</v>
      </c>
      <c r="CQ486">
        <v>197</v>
      </c>
      <c r="CR486">
        <v>2</v>
      </c>
      <c r="CW486">
        <v>2305225</v>
      </c>
      <c r="CY486">
        <v>1</v>
      </c>
      <c r="CZ486">
        <v>0</v>
      </c>
      <c r="DA486">
        <v>1</v>
      </c>
      <c r="DB486">
        <v>0</v>
      </c>
      <c r="DC486">
        <v>0</v>
      </c>
      <c r="DD486">
        <v>0</v>
      </c>
      <c r="DE486">
        <v>0</v>
      </c>
      <c r="DF486">
        <v>0</v>
      </c>
      <c r="DG486">
        <v>0</v>
      </c>
      <c r="DH486">
        <v>0</v>
      </c>
      <c r="DI486">
        <v>0</v>
      </c>
    </row>
    <row r="487" spans="1:113" x14ac:dyDescent="0.3">
      <c r="A487" t="str">
        <f>"09/28/2021 13:54:32.635"</f>
        <v>09/28/2021 13:54:32.635</v>
      </c>
      <c r="C487" t="str">
        <f t="shared" ref="C487:C550" si="26">"FFDFD3C0"</f>
        <v>FFDFD3C0</v>
      </c>
      <c r="D487" t="s">
        <v>113</v>
      </c>
      <c r="E487">
        <v>7</v>
      </c>
      <c r="H487">
        <v>170</v>
      </c>
      <c r="I487" t="s">
        <v>114</v>
      </c>
      <c r="J487" t="s">
        <v>115</v>
      </c>
      <c r="K487">
        <v>0</v>
      </c>
      <c r="L487">
        <v>3</v>
      </c>
      <c r="M487">
        <v>0</v>
      </c>
      <c r="N487">
        <v>2</v>
      </c>
      <c r="O487">
        <v>1</v>
      </c>
      <c r="P487">
        <v>0</v>
      </c>
      <c r="Q487">
        <v>0</v>
      </c>
      <c r="S487" t="str">
        <f>"13:54:32.406"</f>
        <v>13:54:32.406</v>
      </c>
      <c r="T487" t="str">
        <f>"13:54:32.006"</f>
        <v>13:54:32.006</v>
      </c>
      <c r="U487" t="str">
        <f t="shared" si="25"/>
        <v>A92BC1</v>
      </c>
      <c r="V487">
        <v>0</v>
      </c>
      <c r="W487">
        <v>0</v>
      </c>
      <c r="X487">
        <v>2</v>
      </c>
      <c r="Z487">
        <v>0</v>
      </c>
      <c r="AA487">
        <v>9</v>
      </c>
      <c r="AB487">
        <v>3</v>
      </c>
      <c r="AC487">
        <v>0</v>
      </c>
      <c r="AD487">
        <v>10</v>
      </c>
      <c r="AE487">
        <v>0</v>
      </c>
      <c r="AF487">
        <v>3</v>
      </c>
      <c r="AG487">
        <v>2</v>
      </c>
      <c r="AH487">
        <v>0</v>
      </c>
      <c r="AI487" t="s">
        <v>588</v>
      </c>
      <c r="AJ487">
        <v>45.744045</v>
      </c>
      <c r="AK487" t="s">
        <v>589</v>
      </c>
      <c r="AL487">
        <v>-89.357642999999996</v>
      </c>
      <c r="AM487">
        <v>100</v>
      </c>
      <c r="AN487">
        <v>9700</v>
      </c>
      <c r="AO487" t="s">
        <v>118</v>
      </c>
      <c r="AP487">
        <v>123</v>
      </c>
      <c r="AQ487">
        <v>113</v>
      </c>
      <c r="AR487">
        <v>2048</v>
      </c>
      <c r="AZ487">
        <v>1200</v>
      </c>
      <c r="BA487">
        <v>1</v>
      </c>
      <c r="BB487" t="str">
        <f t="shared" ref="BB487:BB550" si="27">"N690LS  "</f>
        <v xml:space="preserve">N690LS  </v>
      </c>
      <c r="BC487">
        <v>1</v>
      </c>
      <c r="BE487">
        <v>0</v>
      </c>
      <c r="BF487">
        <v>0</v>
      </c>
      <c r="BG487">
        <v>0</v>
      </c>
      <c r="BH487">
        <v>10025</v>
      </c>
      <c r="BI487">
        <v>1</v>
      </c>
      <c r="BJ487">
        <v>1</v>
      </c>
      <c r="BK487">
        <v>1</v>
      </c>
      <c r="BL487">
        <v>0</v>
      </c>
      <c r="BO487">
        <v>0</v>
      </c>
      <c r="BP487">
        <v>0</v>
      </c>
      <c r="BW487" t="str">
        <f>"13:54:32.412"</f>
        <v>13:54:32.412</v>
      </c>
      <c r="CJ487">
        <v>0</v>
      </c>
      <c r="CK487">
        <v>2</v>
      </c>
      <c r="CL487">
        <v>0</v>
      </c>
      <c r="CM487">
        <v>2</v>
      </c>
      <c r="CN487">
        <v>0</v>
      </c>
      <c r="CO487">
        <v>7</v>
      </c>
      <c r="CP487" t="s">
        <v>119</v>
      </c>
      <c r="CQ487">
        <v>197</v>
      </c>
      <c r="CR487">
        <v>2</v>
      </c>
      <c r="CW487">
        <v>2306113</v>
      </c>
      <c r="CY487">
        <v>1</v>
      </c>
      <c r="CZ487">
        <v>0</v>
      </c>
      <c r="DA487">
        <v>0</v>
      </c>
      <c r="DB487">
        <v>0</v>
      </c>
      <c r="DC487">
        <v>0</v>
      </c>
      <c r="DD487">
        <v>0</v>
      </c>
      <c r="DE487">
        <v>0</v>
      </c>
      <c r="DF487">
        <v>0</v>
      </c>
      <c r="DG487">
        <v>0</v>
      </c>
      <c r="DH487">
        <v>0</v>
      </c>
      <c r="DI487">
        <v>0</v>
      </c>
    </row>
    <row r="488" spans="1:113" x14ac:dyDescent="0.3">
      <c r="A488" t="str">
        <f>"09/28/2021 13:54:32.635"</f>
        <v>09/28/2021 13:54:32.635</v>
      </c>
      <c r="C488" t="str">
        <f t="shared" si="26"/>
        <v>FFDFD3C0</v>
      </c>
      <c r="D488" t="s">
        <v>120</v>
      </c>
      <c r="E488">
        <v>12</v>
      </c>
      <c r="F488">
        <v>1012</v>
      </c>
      <c r="G488" t="s">
        <v>114</v>
      </c>
      <c r="J488" t="s">
        <v>121</v>
      </c>
      <c r="K488">
        <v>0</v>
      </c>
      <c r="L488">
        <v>3</v>
      </c>
      <c r="M488">
        <v>0</v>
      </c>
      <c r="N488">
        <v>2</v>
      </c>
      <c r="O488">
        <v>1</v>
      </c>
      <c r="P488">
        <v>0</v>
      </c>
      <c r="Q488">
        <v>0</v>
      </c>
      <c r="S488" t="str">
        <f>"13:54:32.406"</f>
        <v>13:54:32.406</v>
      </c>
      <c r="T488" t="str">
        <f>"13:54:32.006"</f>
        <v>13:54:32.006</v>
      </c>
      <c r="U488" t="str">
        <f t="shared" si="25"/>
        <v>A92BC1</v>
      </c>
      <c r="V488">
        <v>0</v>
      </c>
      <c r="W488">
        <v>0</v>
      </c>
      <c r="X488">
        <v>2</v>
      </c>
      <c r="Z488">
        <v>0</v>
      </c>
      <c r="AA488">
        <v>9</v>
      </c>
      <c r="AB488">
        <v>3</v>
      </c>
      <c r="AC488">
        <v>0</v>
      </c>
      <c r="AD488">
        <v>10</v>
      </c>
      <c r="AE488">
        <v>0</v>
      </c>
      <c r="AF488">
        <v>3</v>
      </c>
      <c r="AG488">
        <v>2</v>
      </c>
      <c r="AH488">
        <v>0</v>
      </c>
      <c r="AI488" t="s">
        <v>588</v>
      </c>
      <c r="AJ488">
        <v>45.744045</v>
      </c>
      <c r="AK488" t="s">
        <v>589</v>
      </c>
      <c r="AL488">
        <v>-89.357642999999996</v>
      </c>
      <c r="AM488">
        <v>100</v>
      </c>
      <c r="AN488">
        <v>9700</v>
      </c>
      <c r="AO488" t="s">
        <v>118</v>
      </c>
      <c r="AP488">
        <v>123</v>
      </c>
      <c r="AQ488">
        <v>113</v>
      </c>
      <c r="AR488">
        <v>2048</v>
      </c>
      <c r="AZ488">
        <v>1200</v>
      </c>
      <c r="BA488">
        <v>1</v>
      </c>
      <c r="BB488" t="str">
        <f t="shared" si="27"/>
        <v xml:space="preserve">N690LS  </v>
      </c>
      <c r="BC488">
        <v>1</v>
      </c>
      <c r="BE488">
        <v>0</v>
      </c>
      <c r="BF488">
        <v>0</v>
      </c>
      <c r="BG488">
        <v>0</v>
      </c>
      <c r="BH488">
        <v>10025</v>
      </c>
      <c r="BI488">
        <v>1</v>
      </c>
      <c r="BJ488">
        <v>1</v>
      </c>
      <c r="BK488">
        <v>1</v>
      </c>
      <c r="BL488">
        <v>0</v>
      </c>
      <c r="BO488">
        <v>0</v>
      </c>
      <c r="BP488">
        <v>0</v>
      </c>
      <c r="BW488" t="str">
        <f>"13:54:32.412"</f>
        <v>13:54:32.412</v>
      </c>
      <c r="CJ488">
        <v>0</v>
      </c>
      <c r="CK488">
        <v>2</v>
      </c>
      <c r="CL488">
        <v>0</v>
      </c>
      <c r="CM488">
        <v>2</v>
      </c>
      <c r="CN488">
        <v>0</v>
      </c>
      <c r="CO488">
        <v>7</v>
      </c>
      <c r="CP488" t="s">
        <v>119</v>
      </c>
      <c r="CQ488">
        <v>197</v>
      </c>
      <c r="CR488">
        <v>2</v>
      </c>
      <c r="CW488">
        <v>2306113</v>
      </c>
      <c r="CY488">
        <v>1</v>
      </c>
      <c r="CZ488">
        <v>0</v>
      </c>
      <c r="DA488">
        <v>1</v>
      </c>
      <c r="DB488">
        <v>0</v>
      </c>
      <c r="DC488">
        <v>0</v>
      </c>
      <c r="DD488">
        <v>0</v>
      </c>
      <c r="DE488">
        <v>0</v>
      </c>
      <c r="DF488">
        <v>0</v>
      </c>
      <c r="DG488">
        <v>0</v>
      </c>
      <c r="DH488">
        <v>0</v>
      </c>
      <c r="DI488">
        <v>0</v>
      </c>
    </row>
    <row r="489" spans="1:113" x14ac:dyDescent="0.3">
      <c r="A489" t="str">
        <f>"09/28/2021 13:54:33.635"</f>
        <v>09/28/2021 13:54:33.635</v>
      </c>
      <c r="C489" t="str">
        <f t="shared" si="26"/>
        <v>FFDFD3C0</v>
      </c>
      <c r="D489" t="s">
        <v>120</v>
      </c>
      <c r="E489">
        <v>12</v>
      </c>
      <c r="F489">
        <v>1012</v>
      </c>
      <c r="G489" t="s">
        <v>114</v>
      </c>
      <c r="J489" t="s">
        <v>121</v>
      </c>
      <c r="K489">
        <v>0</v>
      </c>
      <c r="L489">
        <v>3</v>
      </c>
      <c r="M489">
        <v>0</v>
      </c>
      <c r="N489">
        <v>2</v>
      </c>
      <c r="O489">
        <v>1</v>
      </c>
      <c r="P489">
        <v>0</v>
      </c>
      <c r="Q489">
        <v>0</v>
      </c>
      <c r="S489" t="str">
        <f>"13:54:33.430"</f>
        <v>13:54:33.430</v>
      </c>
      <c r="T489" t="str">
        <f>"13:54:33.030"</f>
        <v>13:54:33.030</v>
      </c>
      <c r="U489" t="str">
        <f t="shared" si="25"/>
        <v>A92BC1</v>
      </c>
      <c r="V489">
        <v>0</v>
      </c>
      <c r="W489">
        <v>0</v>
      </c>
      <c r="X489">
        <v>2</v>
      </c>
      <c r="Z489">
        <v>0</v>
      </c>
      <c r="AA489">
        <v>9</v>
      </c>
      <c r="AB489">
        <v>3</v>
      </c>
      <c r="AC489">
        <v>0</v>
      </c>
      <c r="AD489">
        <v>10</v>
      </c>
      <c r="AE489">
        <v>0</v>
      </c>
      <c r="AF489">
        <v>3</v>
      </c>
      <c r="AG489">
        <v>2</v>
      </c>
      <c r="AH489">
        <v>0</v>
      </c>
      <c r="AI489" t="s">
        <v>590</v>
      </c>
      <c r="AJ489">
        <v>45.744602999999998</v>
      </c>
      <c r="AK489" t="s">
        <v>591</v>
      </c>
      <c r="AL489">
        <v>-89.356741999999997</v>
      </c>
      <c r="AM489">
        <v>100</v>
      </c>
      <c r="AN489">
        <v>9700</v>
      </c>
      <c r="AO489" t="s">
        <v>118</v>
      </c>
      <c r="AP489">
        <v>123</v>
      </c>
      <c r="AQ489">
        <v>113</v>
      </c>
      <c r="AR489">
        <v>2048</v>
      </c>
      <c r="AZ489">
        <v>1200</v>
      </c>
      <c r="BA489">
        <v>1</v>
      </c>
      <c r="BB489" t="str">
        <f t="shared" si="27"/>
        <v xml:space="preserve">N690LS  </v>
      </c>
      <c r="BC489">
        <v>1</v>
      </c>
      <c r="BE489">
        <v>0</v>
      </c>
      <c r="BF489">
        <v>0</v>
      </c>
      <c r="BG489">
        <v>0</v>
      </c>
      <c r="BH489">
        <v>10050</v>
      </c>
      <c r="BI489">
        <v>1</v>
      </c>
      <c r="BJ489">
        <v>1</v>
      </c>
      <c r="BK489">
        <v>1</v>
      </c>
      <c r="BL489">
        <v>0</v>
      </c>
      <c r="BO489">
        <v>0</v>
      </c>
      <c r="BP489">
        <v>0</v>
      </c>
      <c r="BW489" t="str">
        <f>"13:54:33.436"</f>
        <v>13:54:33.436</v>
      </c>
      <c r="CJ489">
        <v>0</v>
      </c>
      <c r="CK489">
        <v>2</v>
      </c>
      <c r="CL489">
        <v>0</v>
      </c>
      <c r="CM489">
        <v>2</v>
      </c>
      <c r="CN489">
        <v>0</v>
      </c>
      <c r="CO489">
        <v>7</v>
      </c>
      <c r="CP489" t="s">
        <v>119</v>
      </c>
      <c r="CQ489">
        <v>197</v>
      </c>
      <c r="CR489">
        <v>1</v>
      </c>
      <c r="CW489">
        <v>7227159</v>
      </c>
      <c r="CY489">
        <v>1</v>
      </c>
      <c r="CZ489">
        <v>0</v>
      </c>
      <c r="DA489">
        <v>0</v>
      </c>
      <c r="DB489">
        <v>0</v>
      </c>
      <c r="DC489">
        <v>0</v>
      </c>
      <c r="DD489">
        <v>0</v>
      </c>
      <c r="DE489">
        <v>0</v>
      </c>
      <c r="DF489">
        <v>0</v>
      </c>
      <c r="DG489">
        <v>0</v>
      </c>
      <c r="DH489">
        <v>0</v>
      </c>
      <c r="DI489">
        <v>0</v>
      </c>
    </row>
    <row r="490" spans="1:113" x14ac:dyDescent="0.3">
      <c r="A490" t="str">
        <f>"09/28/2021 13:54:33.635"</f>
        <v>09/28/2021 13:54:33.635</v>
      </c>
      <c r="C490" t="str">
        <f t="shared" si="26"/>
        <v>FFDFD3C0</v>
      </c>
      <c r="D490" t="s">
        <v>113</v>
      </c>
      <c r="E490">
        <v>7</v>
      </c>
      <c r="H490">
        <v>170</v>
      </c>
      <c r="I490" t="s">
        <v>114</v>
      </c>
      <c r="J490" t="s">
        <v>115</v>
      </c>
      <c r="K490">
        <v>0</v>
      </c>
      <c r="L490">
        <v>3</v>
      </c>
      <c r="M490">
        <v>0</v>
      </c>
      <c r="N490">
        <v>2</v>
      </c>
      <c r="O490">
        <v>1</v>
      </c>
      <c r="P490">
        <v>0</v>
      </c>
      <c r="Q490">
        <v>0</v>
      </c>
      <c r="S490" t="str">
        <f>"13:54:33.430"</f>
        <v>13:54:33.430</v>
      </c>
      <c r="T490" t="str">
        <f>"13:54:33.030"</f>
        <v>13:54:33.030</v>
      </c>
      <c r="U490" t="str">
        <f t="shared" si="25"/>
        <v>A92BC1</v>
      </c>
      <c r="V490">
        <v>0</v>
      </c>
      <c r="W490">
        <v>0</v>
      </c>
      <c r="X490">
        <v>2</v>
      </c>
      <c r="Z490">
        <v>0</v>
      </c>
      <c r="AA490">
        <v>9</v>
      </c>
      <c r="AB490">
        <v>3</v>
      </c>
      <c r="AC490">
        <v>0</v>
      </c>
      <c r="AD490">
        <v>10</v>
      </c>
      <c r="AE490">
        <v>0</v>
      </c>
      <c r="AF490">
        <v>3</v>
      </c>
      <c r="AG490">
        <v>2</v>
      </c>
      <c r="AH490">
        <v>0</v>
      </c>
      <c r="AI490" t="s">
        <v>590</v>
      </c>
      <c r="AJ490">
        <v>45.744602999999998</v>
      </c>
      <c r="AK490" t="s">
        <v>591</v>
      </c>
      <c r="AL490">
        <v>-89.356741999999997</v>
      </c>
      <c r="AM490">
        <v>100</v>
      </c>
      <c r="AN490">
        <v>9700</v>
      </c>
      <c r="AO490" t="s">
        <v>118</v>
      </c>
      <c r="AP490">
        <v>123</v>
      </c>
      <c r="AQ490">
        <v>113</v>
      </c>
      <c r="AR490">
        <v>2048</v>
      </c>
      <c r="AZ490">
        <v>1200</v>
      </c>
      <c r="BA490">
        <v>1</v>
      </c>
      <c r="BB490" t="str">
        <f t="shared" si="27"/>
        <v xml:space="preserve">N690LS  </v>
      </c>
      <c r="BC490">
        <v>1</v>
      </c>
      <c r="BE490">
        <v>0</v>
      </c>
      <c r="BF490">
        <v>0</v>
      </c>
      <c r="BG490">
        <v>0</v>
      </c>
      <c r="BH490">
        <v>10050</v>
      </c>
      <c r="BI490">
        <v>1</v>
      </c>
      <c r="BJ490">
        <v>1</v>
      </c>
      <c r="BK490">
        <v>1</v>
      </c>
      <c r="BL490">
        <v>0</v>
      </c>
      <c r="BO490">
        <v>0</v>
      </c>
      <c r="BP490">
        <v>0</v>
      </c>
      <c r="BW490" t="str">
        <f>"13:54:33.436"</f>
        <v>13:54:33.436</v>
      </c>
      <c r="CJ490">
        <v>0</v>
      </c>
      <c r="CK490">
        <v>2</v>
      </c>
      <c r="CL490">
        <v>0</v>
      </c>
      <c r="CM490">
        <v>2</v>
      </c>
      <c r="CN490">
        <v>0</v>
      </c>
      <c r="CO490">
        <v>7</v>
      </c>
      <c r="CP490" t="s">
        <v>119</v>
      </c>
      <c r="CQ490">
        <v>197</v>
      </c>
      <c r="CR490">
        <v>1</v>
      </c>
      <c r="CW490">
        <v>7227159</v>
      </c>
      <c r="CY490">
        <v>1</v>
      </c>
      <c r="CZ490">
        <v>0</v>
      </c>
      <c r="DA490">
        <v>1</v>
      </c>
      <c r="DB490">
        <v>0</v>
      </c>
      <c r="DC490">
        <v>0</v>
      </c>
      <c r="DD490">
        <v>0</v>
      </c>
      <c r="DE490">
        <v>0</v>
      </c>
      <c r="DF490">
        <v>0</v>
      </c>
      <c r="DG490">
        <v>0</v>
      </c>
      <c r="DH490">
        <v>0</v>
      </c>
      <c r="DI490">
        <v>0</v>
      </c>
    </row>
    <row r="491" spans="1:113" x14ac:dyDescent="0.3">
      <c r="A491" t="str">
        <f>"09/28/2021 13:54:34.699"</f>
        <v>09/28/2021 13:54:34.699</v>
      </c>
      <c r="C491" t="str">
        <f t="shared" si="26"/>
        <v>FFDFD3C0</v>
      </c>
      <c r="D491" t="s">
        <v>113</v>
      </c>
      <c r="E491">
        <v>7</v>
      </c>
      <c r="H491">
        <v>170</v>
      </c>
      <c r="I491" t="s">
        <v>114</v>
      </c>
      <c r="J491" t="s">
        <v>115</v>
      </c>
      <c r="K491">
        <v>0</v>
      </c>
      <c r="L491">
        <v>3</v>
      </c>
      <c r="M491">
        <v>0</v>
      </c>
      <c r="N491">
        <v>2</v>
      </c>
      <c r="O491">
        <v>1</v>
      </c>
      <c r="P491">
        <v>0</v>
      </c>
      <c r="Q491">
        <v>0</v>
      </c>
      <c r="S491" t="str">
        <f>"13:54:34.500"</f>
        <v>13:54:34.500</v>
      </c>
      <c r="T491" t="str">
        <f>"13:54:34.000"</f>
        <v>13:54:34.000</v>
      </c>
      <c r="U491" t="str">
        <f t="shared" si="25"/>
        <v>A92BC1</v>
      </c>
      <c r="V491">
        <v>0</v>
      </c>
      <c r="W491">
        <v>0</v>
      </c>
      <c r="X491">
        <v>2</v>
      </c>
      <c r="Z491">
        <v>0</v>
      </c>
      <c r="AA491">
        <v>9</v>
      </c>
      <c r="AB491">
        <v>3</v>
      </c>
      <c r="AC491">
        <v>0</v>
      </c>
      <c r="AD491">
        <v>10</v>
      </c>
      <c r="AE491">
        <v>0</v>
      </c>
      <c r="AF491">
        <v>3</v>
      </c>
      <c r="AG491">
        <v>2</v>
      </c>
      <c r="AH491">
        <v>0</v>
      </c>
      <c r="AI491" t="s">
        <v>592</v>
      </c>
      <c r="AJ491">
        <v>45.745117999999998</v>
      </c>
      <c r="AK491" t="s">
        <v>593</v>
      </c>
      <c r="AL491">
        <v>-89.355926999999994</v>
      </c>
      <c r="AM491">
        <v>100</v>
      </c>
      <c r="AN491">
        <v>9800</v>
      </c>
      <c r="AO491" t="s">
        <v>118</v>
      </c>
      <c r="AP491">
        <v>122</v>
      </c>
      <c r="AQ491">
        <v>113</v>
      </c>
      <c r="AR491">
        <v>2048</v>
      </c>
      <c r="AZ491">
        <v>1200</v>
      </c>
      <c r="BA491">
        <v>1</v>
      </c>
      <c r="BB491" t="str">
        <f t="shared" si="27"/>
        <v xml:space="preserve">N690LS  </v>
      </c>
      <c r="BC491">
        <v>1</v>
      </c>
      <c r="BE491">
        <v>0</v>
      </c>
      <c r="BF491">
        <v>0</v>
      </c>
      <c r="BG491">
        <v>0</v>
      </c>
      <c r="BH491">
        <v>10075</v>
      </c>
      <c r="BI491">
        <v>1</v>
      </c>
      <c r="BJ491">
        <v>1</v>
      </c>
      <c r="BK491">
        <v>1</v>
      </c>
      <c r="BL491">
        <v>0</v>
      </c>
      <c r="BO491">
        <v>0</v>
      </c>
      <c r="BP491">
        <v>0</v>
      </c>
      <c r="BW491" t="str">
        <f>"13:54:34.502"</f>
        <v>13:54:34.502</v>
      </c>
      <c r="CJ491">
        <v>0</v>
      </c>
      <c r="CK491">
        <v>2</v>
      </c>
      <c r="CL491">
        <v>0</v>
      </c>
      <c r="CM491">
        <v>2</v>
      </c>
      <c r="CN491">
        <v>0</v>
      </c>
      <c r="CO491">
        <v>7</v>
      </c>
      <c r="CP491" t="s">
        <v>119</v>
      </c>
      <c r="CQ491">
        <v>197</v>
      </c>
      <c r="CR491">
        <v>1</v>
      </c>
      <c r="CW491">
        <v>7228320</v>
      </c>
      <c r="CY491">
        <v>1</v>
      </c>
      <c r="CZ491">
        <v>0</v>
      </c>
      <c r="DA491">
        <v>0</v>
      </c>
      <c r="DB491">
        <v>0</v>
      </c>
      <c r="DC491">
        <v>0</v>
      </c>
      <c r="DD491">
        <v>0</v>
      </c>
      <c r="DE491">
        <v>0</v>
      </c>
      <c r="DF491">
        <v>0</v>
      </c>
      <c r="DG491">
        <v>0</v>
      </c>
      <c r="DH491">
        <v>0</v>
      </c>
      <c r="DI491">
        <v>0</v>
      </c>
    </row>
    <row r="492" spans="1:113" x14ac:dyDescent="0.3">
      <c r="A492" t="str">
        <f>"09/28/2021 13:54:34.699"</f>
        <v>09/28/2021 13:54:34.699</v>
      </c>
      <c r="C492" t="str">
        <f t="shared" si="26"/>
        <v>FFDFD3C0</v>
      </c>
      <c r="D492" t="s">
        <v>120</v>
      </c>
      <c r="E492">
        <v>12</v>
      </c>
      <c r="F492">
        <v>1012</v>
      </c>
      <c r="G492" t="s">
        <v>114</v>
      </c>
      <c r="J492" t="s">
        <v>121</v>
      </c>
      <c r="K492">
        <v>0</v>
      </c>
      <c r="L492">
        <v>3</v>
      </c>
      <c r="M492">
        <v>0</v>
      </c>
      <c r="N492">
        <v>2</v>
      </c>
      <c r="O492">
        <v>1</v>
      </c>
      <c r="P492">
        <v>0</v>
      </c>
      <c r="Q492">
        <v>0</v>
      </c>
      <c r="S492" t="str">
        <f>"13:54:34.500"</f>
        <v>13:54:34.500</v>
      </c>
      <c r="T492" t="str">
        <f>"13:54:34.000"</f>
        <v>13:54:34.000</v>
      </c>
      <c r="U492" t="str">
        <f t="shared" si="25"/>
        <v>A92BC1</v>
      </c>
      <c r="V492">
        <v>0</v>
      </c>
      <c r="W492">
        <v>0</v>
      </c>
      <c r="X492">
        <v>2</v>
      </c>
      <c r="Z492">
        <v>0</v>
      </c>
      <c r="AA492">
        <v>9</v>
      </c>
      <c r="AB492">
        <v>3</v>
      </c>
      <c r="AC492">
        <v>0</v>
      </c>
      <c r="AD492">
        <v>10</v>
      </c>
      <c r="AE492">
        <v>0</v>
      </c>
      <c r="AF492">
        <v>3</v>
      </c>
      <c r="AG492">
        <v>2</v>
      </c>
      <c r="AH492">
        <v>0</v>
      </c>
      <c r="AI492" t="s">
        <v>592</v>
      </c>
      <c r="AJ492">
        <v>45.745117999999998</v>
      </c>
      <c r="AK492" t="s">
        <v>593</v>
      </c>
      <c r="AL492">
        <v>-89.355926999999994</v>
      </c>
      <c r="AM492">
        <v>100</v>
      </c>
      <c r="AN492">
        <v>9800</v>
      </c>
      <c r="AO492" t="s">
        <v>118</v>
      </c>
      <c r="AP492">
        <v>122</v>
      </c>
      <c r="AQ492">
        <v>113</v>
      </c>
      <c r="AR492">
        <v>2048</v>
      </c>
      <c r="AZ492">
        <v>1200</v>
      </c>
      <c r="BA492">
        <v>1</v>
      </c>
      <c r="BB492" t="str">
        <f t="shared" si="27"/>
        <v xml:space="preserve">N690LS  </v>
      </c>
      <c r="BC492">
        <v>1</v>
      </c>
      <c r="BE492">
        <v>0</v>
      </c>
      <c r="BF492">
        <v>0</v>
      </c>
      <c r="BG492">
        <v>0</v>
      </c>
      <c r="BH492">
        <v>10075</v>
      </c>
      <c r="BI492">
        <v>1</v>
      </c>
      <c r="BJ492">
        <v>1</v>
      </c>
      <c r="BK492">
        <v>1</v>
      </c>
      <c r="BL492">
        <v>0</v>
      </c>
      <c r="BO492">
        <v>0</v>
      </c>
      <c r="BP492">
        <v>0</v>
      </c>
      <c r="BW492" t="str">
        <f>"13:54:34.502"</f>
        <v>13:54:34.502</v>
      </c>
      <c r="CJ492">
        <v>0</v>
      </c>
      <c r="CK492">
        <v>2</v>
      </c>
      <c r="CL492">
        <v>0</v>
      </c>
      <c r="CM492">
        <v>2</v>
      </c>
      <c r="CN492">
        <v>0</v>
      </c>
      <c r="CO492">
        <v>7</v>
      </c>
      <c r="CP492" t="s">
        <v>119</v>
      </c>
      <c r="CQ492">
        <v>197</v>
      </c>
      <c r="CR492">
        <v>1</v>
      </c>
      <c r="CW492">
        <v>7228320</v>
      </c>
      <c r="CY492">
        <v>1</v>
      </c>
      <c r="CZ492">
        <v>0</v>
      </c>
      <c r="DA492">
        <v>1</v>
      </c>
      <c r="DB492">
        <v>0</v>
      </c>
      <c r="DC492">
        <v>0</v>
      </c>
      <c r="DD492">
        <v>0</v>
      </c>
      <c r="DE492">
        <v>0</v>
      </c>
      <c r="DF492">
        <v>0</v>
      </c>
      <c r="DG492">
        <v>0</v>
      </c>
      <c r="DH492">
        <v>0</v>
      </c>
      <c r="DI492">
        <v>0</v>
      </c>
    </row>
    <row r="493" spans="1:113" x14ac:dyDescent="0.3">
      <c r="A493" t="str">
        <f>"09/28/2021 13:54:35.792"</f>
        <v>09/28/2021 13:54:35.792</v>
      </c>
      <c r="C493" t="str">
        <f t="shared" si="26"/>
        <v>FFDFD3C0</v>
      </c>
      <c r="D493" t="s">
        <v>120</v>
      </c>
      <c r="E493">
        <v>12</v>
      </c>
      <c r="F493">
        <v>1012</v>
      </c>
      <c r="G493" t="s">
        <v>114</v>
      </c>
      <c r="J493" t="s">
        <v>121</v>
      </c>
      <c r="K493">
        <v>0</v>
      </c>
      <c r="L493">
        <v>3</v>
      </c>
      <c r="M493">
        <v>0</v>
      </c>
      <c r="N493">
        <v>2</v>
      </c>
      <c r="O493">
        <v>1</v>
      </c>
      <c r="P493">
        <v>0</v>
      </c>
      <c r="Q493">
        <v>0</v>
      </c>
      <c r="S493" t="str">
        <f>"13:54:35.539"</f>
        <v>13:54:35.539</v>
      </c>
      <c r="T493" t="str">
        <f>"13:54:35.139"</f>
        <v>13:54:35.139</v>
      </c>
      <c r="U493" t="str">
        <f t="shared" si="25"/>
        <v>A92BC1</v>
      </c>
      <c r="V493">
        <v>0</v>
      </c>
      <c r="W493">
        <v>0</v>
      </c>
      <c r="X493">
        <v>2</v>
      </c>
      <c r="Z493">
        <v>0</v>
      </c>
      <c r="AA493">
        <v>9</v>
      </c>
      <c r="AB493">
        <v>3</v>
      </c>
      <c r="AC493">
        <v>0</v>
      </c>
      <c r="AD493">
        <v>10</v>
      </c>
      <c r="AE493">
        <v>0</v>
      </c>
      <c r="AF493">
        <v>3</v>
      </c>
      <c r="AG493">
        <v>2</v>
      </c>
      <c r="AH493">
        <v>0</v>
      </c>
      <c r="AI493" t="s">
        <v>594</v>
      </c>
      <c r="AJ493">
        <v>45.745697</v>
      </c>
      <c r="AK493" t="s">
        <v>595</v>
      </c>
      <c r="AL493">
        <v>-89.355090000000004</v>
      </c>
      <c r="AM493">
        <v>100</v>
      </c>
      <c r="AN493">
        <v>9800</v>
      </c>
      <c r="AO493" t="s">
        <v>118</v>
      </c>
      <c r="AP493">
        <v>122</v>
      </c>
      <c r="AQ493">
        <v>113</v>
      </c>
      <c r="AR493">
        <v>2048</v>
      </c>
      <c r="AZ493">
        <v>1200</v>
      </c>
      <c r="BA493">
        <v>1</v>
      </c>
      <c r="BB493" t="str">
        <f t="shared" si="27"/>
        <v xml:space="preserve">N690LS  </v>
      </c>
      <c r="BC493">
        <v>1</v>
      </c>
      <c r="BE493">
        <v>0</v>
      </c>
      <c r="BF493">
        <v>0</v>
      </c>
      <c r="BG493">
        <v>0</v>
      </c>
      <c r="BH493">
        <v>10125</v>
      </c>
      <c r="BI493">
        <v>1</v>
      </c>
      <c r="BJ493">
        <v>1</v>
      </c>
      <c r="BK493">
        <v>1</v>
      </c>
      <c r="BL493">
        <v>0</v>
      </c>
      <c r="BO493">
        <v>0</v>
      </c>
      <c r="BP493">
        <v>0</v>
      </c>
      <c r="BW493" t="str">
        <f>"13:54:35.539"</f>
        <v>13:54:35.539</v>
      </c>
      <c r="CJ493">
        <v>0</v>
      </c>
      <c r="CK493">
        <v>2</v>
      </c>
      <c r="CL493">
        <v>0</v>
      </c>
      <c r="CM493">
        <v>2</v>
      </c>
      <c r="CN493">
        <v>0</v>
      </c>
      <c r="CO493">
        <v>7</v>
      </c>
      <c r="CP493" t="s">
        <v>119</v>
      </c>
      <c r="CQ493">
        <v>197</v>
      </c>
      <c r="CR493">
        <v>1</v>
      </c>
      <c r="CW493">
        <v>7229403</v>
      </c>
      <c r="CY493">
        <v>1</v>
      </c>
      <c r="CZ493">
        <v>0</v>
      </c>
      <c r="DA493">
        <v>0</v>
      </c>
      <c r="DB493">
        <v>0</v>
      </c>
      <c r="DC493">
        <v>0</v>
      </c>
      <c r="DD493">
        <v>0</v>
      </c>
      <c r="DE493">
        <v>0</v>
      </c>
      <c r="DF493">
        <v>0</v>
      </c>
      <c r="DG493">
        <v>0</v>
      </c>
      <c r="DH493">
        <v>0</v>
      </c>
      <c r="DI493">
        <v>0</v>
      </c>
    </row>
    <row r="494" spans="1:113" x14ac:dyDescent="0.3">
      <c r="A494" t="str">
        <f>"09/28/2021 13:54:35.792"</f>
        <v>09/28/2021 13:54:35.792</v>
      </c>
      <c r="C494" t="str">
        <f t="shared" si="26"/>
        <v>FFDFD3C0</v>
      </c>
      <c r="D494" t="s">
        <v>113</v>
      </c>
      <c r="E494">
        <v>7</v>
      </c>
      <c r="H494">
        <v>170</v>
      </c>
      <c r="I494" t="s">
        <v>114</v>
      </c>
      <c r="J494" t="s">
        <v>115</v>
      </c>
      <c r="K494">
        <v>0</v>
      </c>
      <c r="L494">
        <v>3</v>
      </c>
      <c r="M494">
        <v>0</v>
      </c>
      <c r="N494">
        <v>2</v>
      </c>
      <c r="O494">
        <v>1</v>
      </c>
      <c r="P494">
        <v>0</v>
      </c>
      <c r="Q494">
        <v>0</v>
      </c>
      <c r="S494" t="str">
        <f>"13:54:35.539"</f>
        <v>13:54:35.539</v>
      </c>
      <c r="T494" t="str">
        <f>"13:54:35.139"</f>
        <v>13:54:35.139</v>
      </c>
      <c r="U494" t="str">
        <f t="shared" si="25"/>
        <v>A92BC1</v>
      </c>
      <c r="V494">
        <v>0</v>
      </c>
      <c r="W494">
        <v>0</v>
      </c>
      <c r="X494">
        <v>2</v>
      </c>
      <c r="Z494">
        <v>0</v>
      </c>
      <c r="AA494">
        <v>9</v>
      </c>
      <c r="AB494">
        <v>3</v>
      </c>
      <c r="AC494">
        <v>0</v>
      </c>
      <c r="AD494">
        <v>10</v>
      </c>
      <c r="AE494">
        <v>0</v>
      </c>
      <c r="AF494">
        <v>3</v>
      </c>
      <c r="AG494">
        <v>2</v>
      </c>
      <c r="AH494">
        <v>0</v>
      </c>
      <c r="AI494" t="s">
        <v>594</v>
      </c>
      <c r="AJ494">
        <v>45.745697</v>
      </c>
      <c r="AK494" t="s">
        <v>595</v>
      </c>
      <c r="AL494">
        <v>-89.355090000000004</v>
      </c>
      <c r="AM494">
        <v>100</v>
      </c>
      <c r="AN494">
        <v>9800</v>
      </c>
      <c r="AO494" t="s">
        <v>118</v>
      </c>
      <c r="AP494">
        <v>122</v>
      </c>
      <c r="AQ494">
        <v>113</v>
      </c>
      <c r="AR494">
        <v>2048</v>
      </c>
      <c r="AZ494">
        <v>1200</v>
      </c>
      <c r="BA494">
        <v>1</v>
      </c>
      <c r="BB494" t="str">
        <f t="shared" si="27"/>
        <v xml:space="preserve">N690LS  </v>
      </c>
      <c r="BC494">
        <v>1</v>
      </c>
      <c r="BE494">
        <v>0</v>
      </c>
      <c r="BF494">
        <v>0</v>
      </c>
      <c r="BG494">
        <v>0</v>
      </c>
      <c r="BH494">
        <v>10125</v>
      </c>
      <c r="BI494">
        <v>1</v>
      </c>
      <c r="BJ494">
        <v>1</v>
      </c>
      <c r="BK494">
        <v>1</v>
      </c>
      <c r="BL494">
        <v>0</v>
      </c>
      <c r="BO494">
        <v>0</v>
      </c>
      <c r="BP494">
        <v>0</v>
      </c>
      <c r="BW494" t="str">
        <f>"13:54:35.539"</f>
        <v>13:54:35.539</v>
      </c>
      <c r="CJ494">
        <v>0</v>
      </c>
      <c r="CK494">
        <v>2</v>
      </c>
      <c r="CL494">
        <v>0</v>
      </c>
      <c r="CM494">
        <v>2</v>
      </c>
      <c r="CN494">
        <v>0</v>
      </c>
      <c r="CO494">
        <v>7</v>
      </c>
      <c r="CP494" t="s">
        <v>119</v>
      </c>
      <c r="CQ494">
        <v>197</v>
      </c>
      <c r="CR494">
        <v>1</v>
      </c>
      <c r="CW494">
        <v>7229403</v>
      </c>
      <c r="CY494">
        <v>1</v>
      </c>
      <c r="CZ494">
        <v>0</v>
      </c>
      <c r="DA494">
        <v>1</v>
      </c>
      <c r="DB494">
        <v>0</v>
      </c>
      <c r="DC494">
        <v>0</v>
      </c>
      <c r="DD494">
        <v>0</v>
      </c>
      <c r="DE494">
        <v>0</v>
      </c>
      <c r="DF494">
        <v>0</v>
      </c>
      <c r="DG494">
        <v>0</v>
      </c>
      <c r="DH494">
        <v>0</v>
      </c>
      <c r="DI494">
        <v>0</v>
      </c>
    </row>
    <row r="495" spans="1:113" x14ac:dyDescent="0.3">
      <c r="A495" t="str">
        <f>"09/28/2021 13:54:36.682"</f>
        <v>09/28/2021 13:54:36.682</v>
      </c>
      <c r="C495" t="str">
        <f t="shared" si="26"/>
        <v>FFDFD3C0</v>
      </c>
      <c r="D495" t="s">
        <v>120</v>
      </c>
      <c r="E495">
        <v>12</v>
      </c>
      <c r="F495">
        <v>1012</v>
      </c>
      <c r="G495" t="s">
        <v>114</v>
      </c>
      <c r="J495" t="s">
        <v>121</v>
      </c>
      <c r="K495">
        <v>0</v>
      </c>
      <c r="L495">
        <v>3</v>
      </c>
      <c r="M495">
        <v>0</v>
      </c>
      <c r="N495">
        <v>2</v>
      </c>
      <c r="O495">
        <v>1</v>
      </c>
      <c r="P495">
        <v>0</v>
      </c>
      <c r="Q495">
        <v>0</v>
      </c>
      <c r="S495" t="str">
        <f>"13:54:36.461"</f>
        <v>13:54:36.461</v>
      </c>
      <c r="T495" t="str">
        <f>"13:54:35.961"</f>
        <v>13:54:35.961</v>
      </c>
      <c r="U495" t="str">
        <f t="shared" si="25"/>
        <v>A92BC1</v>
      </c>
      <c r="V495">
        <v>0</v>
      </c>
      <c r="W495">
        <v>0</v>
      </c>
      <c r="X495">
        <v>2</v>
      </c>
      <c r="Z495">
        <v>0</v>
      </c>
      <c r="AA495">
        <v>9</v>
      </c>
      <c r="AB495">
        <v>3</v>
      </c>
      <c r="AC495">
        <v>0</v>
      </c>
      <c r="AD495">
        <v>10</v>
      </c>
      <c r="AE495">
        <v>0</v>
      </c>
      <c r="AF495">
        <v>3</v>
      </c>
      <c r="AG495">
        <v>2</v>
      </c>
      <c r="AH495">
        <v>0</v>
      </c>
      <c r="AI495" t="s">
        <v>596</v>
      </c>
      <c r="AJ495">
        <v>45.746191000000003</v>
      </c>
      <c r="AK495" t="s">
        <v>597</v>
      </c>
      <c r="AL495">
        <v>-89.354338999999996</v>
      </c>
      <c r="AM495">
        <v>100</v>
      </c>
      <c r="AN495">
        <v>9800</v>
      </c>
      <c r="AO495" t="s">
        <v>118</v>
      </c>
      <c r="AP495">
        <v>122</v>
      </c>
      <c r="AQ495">
        <v>113</v>
      </c>
      <c r="AR495">
        <v>2048</v>
      </c>
      <c r="AZ495">
        <v>1200</v>
      </c>
      <c r="BA495">
        <v>1</v>
      </c>
      <c r="BB495" t="str">
        <f t="shared" si="27"/>
        <v xml:space="preserve">N690LS  </v>
      </c>
      <c r="BC495">
        <v>1</v>
      </c>
      <c r="BE495">
        <v>0</v>
      </c>
      <c r="BF495">
        <v>0</v>
      </c>
      <c r="BG495">
        <v>0</v>
      </c>
      <c r="BH495">
        <v>10150</v>
      </c>
      <c r="BI495">
        <v>1</v>
      </c>
      <c r="BJ495">
        <v>1</v>
      </c>
      <c r="BK495">
        <v>1</v>
      </c>
      <c r="BL495">
        <v>0</v>
      </c>
      <c r="BO495">
        <v>0</v>
      </c>
      <c r="BP495">
        <v>0</v>
      </c>
      <c r="BW495" t="str">
        <f>"13:54:36.465"</f>
        <v>13:54:36.465</v>
      </c>
      <c r="CJ495">
        <v>0</v>
      </c>
      <c r="CK495">
        <v>2</v>
      </c>
      <c r="CL495">
        <v>0</v>
      </c>
      <c r="CM495">
        <v>2</v>
      </c>
      <c r="CN495">
        <v>0</v>
      </c>
      <c r="CO495">
        <v>7</v>
      </c>
      <c r="CP495" t="s">
        <v>119</v>
      </c>
      <c r="CQ495">
        <v>197</v>
      </c>
      <c r="CR495">
        <v>2</v>
      </c>
      <c r="CW495">
        <v>2309740</v>
      </c>
      <c r="CY495">
        <v>1</v>
      </c>
      <c r="CZ495">
        <v>0</v>
      </c>
      <c r="DA495">
        <v>0</v>
      </c>
      <c r="DB495">
        <v>0</v>
      </c>
      <c r="DC495">
        <v>0</v>
      </c>
      <c r="DD495">
        <v>0</v>
      </c>
      <c r="DE495">
        <v>0</v>
      </c>
      <c r="DF495">
        <v>0</v>
      </c>
      <c r="DG495">
        <v>0</v>
      </c>
      <c r="DH495">
        <v>0</v>
      </c>
      <c r="DI495">
        <v>0</v>
      </c>
    </row>
    <row r="496" spans="1:113" x14ac:dyDescent="0.3">
      <c r="A496" t="str">
        <f>"09/28/2021 13:54:36.682"</f>
        <v>09/28/2021 13:54:36.682</v>
      </c>
      <c r="C496" t="str">
        <f t="shared" si="26"/>
        <v>FFDFD3C0</v>
      </c>
      <c r="D496" t="s">
        <v>113</v>
      </c>
      <c r="E496">
        <v>7</v>
      </c>
      <c r="H496">
        <v>170</v>
      </c>
      <c r="I496" t="s">
        <v>114</v>
      </c>
      <c r="J496" t="s">
        <v>115</v>
      </c>
      <c r="K496">
        <v>0</v>
      </c>
      <c r="L496">
        <v>3</v>
      </c>
      <c r="M496">
        <v>0</v>
      </c>
      <c r="N496">
        <v>2</v>
      </c>
      <c r="O496">
        <v>1</v>
      </c>
      <c r="P496">
        <v>0</v>
      </c>
      <c r="Q496">
        <v>0</v>
      </c>
      <c r="S496" t="str">
        <f>"13:54:36.461"</f>
        <v>13:54:36.461</v>
      </c>
      <c r="T496" t="str">
        <f>"13:54:35.961"</f>
        <v>13:54:35.961</v>
      </c>
      <c r="U496" t="str">
        <f t="shared" si="25"/>
        <v>A92BC1</v>
      </c>
      <c r="V496">
        <v>0</v>
      </c>
      <c r="W496">
        <v>0</v>
      </c>
      <c r="X496">
        <v>2</v>
      </c>
      <c r="Z496">
        <v>0</v>
      </c>
      <c r="AA496">
        <v>9</v>
      </c>
      <c r="AB496">
        <v>3</v>
      </c>
      <c r="AC496">
        <v>0</v>
      </c>
      <c r="AD496">
        <v>10</v>
      </c>
      <c r="AE496">
        <v>0</v>
      </c>
      <c r="AF496">
        <v>3</v>
      </c>
      <c r="AG496">
        <v>2</v>
      </c>
      <c r="AH496">
        <v>0</v>
      </c>
      <c r="AI496" t="s">
        <v>596</v>
      </c>
      <c r="AJ496">
        <v>45.746191000000003</v>
      </c>
      <c r="AK496" t="s">
        <v>597</v>
      </c>
      <c r="AL496">
        <v>-89.354338999999996</v>
      </c>
      <c r="AM496">
        <v>100</v>
      </c>
      <c r="AN496">
        <v>9800</v>
      </c>
      <c r="AO496" t="s">
        <v>118</v>
      </c>
      <c r="AP496">
        <v>122</v>
      </c>
      <c r="AQ496">
        <v>113</v>
      </c>
      <c r="AR496">
        <v>2048</v>
      </c>
      <c r="AZ496">
        <v>1200</v>
      </c>
      <c r="BA496">
        <v>1</v>
      </c>
      <c r="BB496" t="str">
        <f t="shared" si="27"/>
        <v xml:space="preserve">N690LS  </v>
      </c>
      <c r="BC496">
        <v>1</v>
      </c>
      <c r="BE496">
        <v>0</v>
      </c>
      <c r="BF496">
        <v>0</v>
      </c>
      <c r="BG496">
        <v>0</v>
      </c>
      <c r="BH496">
        <v>10150</v>
      </c>
      <c r="BI496">
        <v>1</v>
      </c>
      <c r="BJ496">
        <v>1</v>
      </c>
      <c r="BK496">
        <v>1</v>
      </c>
      <c r="BL496">
        <v>0</v>
      </c>
      <c r="BO496">
        <v>0</v>
      </c>
      <c r="BP496">
        <v>0</v>
      </c>
      <c r="BW496" t="str">
        <f>"13:54:36.465"</f>
        <v>13:54:36.465</v>
      </c>
      <c r="CJ496">
        <v>0</v>
      </c>
      <c r="CK496">
        <v>2</v>
      </c>
      <c r="CL496">
        <v>0</v>
      </c>
      <c r="CM496">
        <v>2</v>
      </c>
      <c r="CN496">
        <v>0</v>
      </c>
      <c r="CO496">
        <v>7</v>
      </c>
      <c r="CP496" t="s">
        <v>119</v>
      </c>
      <c r="CQ496">
        <v>197</v>
      </c>
      <c r="CR496">
        <v>2</v>
      </c>
      <c r="CW496">
        <v>2309740</v>
      </c>
      <c r="CY496">
        <v>1</v>
      </c>
      <c r="CZ496">
        <v>0</v>
      </c>
      <c r="DA496">
        <v>1</v>
      </c>
      <c r="DB496">
        <v>0</v>
      </c>
      <c r="DC496">
        <v>0</v>
      </c>
      <c r="DD496">
        <v>0</v>
      </c>
      <c r="DE496">
        <v>0</v>
      </c>
      <c r="DF496">
        <v>0</v>
      </c>
      <c r="DG496">
        <v>0</v>
      </c>
      <c r="DH496">
        <v>0</v>
      </c>
      <c r="DI496">
        <v>0</v>
      </c>
    </row>
    <row r="497" spans="1:113" x14ac:dyDescent="0.3">
      <c r="A497" t="str">
        <f>"09/28/2021 13:54:37.775"</f>
        <v>09/28/2021 13:54:37.775</v>
      </c>
      <c r="C497" t="str">
        <f t="shared" si="26"/>
        <v>FFDFD3C0</v>
      </c>
      <c r="D497" t="s">
        <v>120</v>
      </c>
      <c r="E497">
        <v>12</v>
      </c>
      <c r="F497">
        <v>1012</v>
      </c>
      <c r="G497" t="s">
        <v>114</v>
      </c>
      <c r="J497" t="s">
        <v>121</v>
      </c>
      <c r="K497">
        <v>0</v>
      </c>
      <c r="L497">
        <v>3</v>
      </c>
      <c r="M497">
        <v>0</v>
      </c>
      <c r="N497">
        <v>2</v>
      </c>
      <c r="O497">
        <v>1</v>
      </c>
      <c r="P497">
        <v>0</v>
      </c>
      <c r="Q497">
        <v>0</v>
      </c>
      <c r="S497" t="str">
        <f>"13:54:37.547"</f>
        <v>13:54:37.547</v>
      </c>
      <c r="T497" t="str">
        <f>"13:54:37.047"</f>
        <v>13:54:37.047</v>
      </c>
      <c r="U497" t="str">
        <f t="shared" si="25"/>
        <v>A92BC1</v>
      </c>
      <c r="V497">
        <v>0</v>
      </c>
      <c r="W497">
        <v>0</v>
      </c>
      <c r="X497">
        <v>2</v>
      </c>
      <c r="Z497">
        <v>0</v>
      </c>
      <c r="AA497">
        <v>9</v>
      </c>
      <c r="AB497">
        <v>3</v>
      </c>
      <c r="AC497">
        <v>0</v>
      </c>
      <c r="AD497">
        <v>10</v>
      </c>
      <c r="AE497">
        <v>0</v>
      </c>
      <c r="AF497">
        <v>3</v>
      </c>
      <c r="AG497">
        <v>2</v>
      </c>
      <c r="AH497">
        <v>0</v>
      </c>
      <c r="AI497" t="s">
        <v>598</v>
      </c>
      <c r="AJ497">
        <v>45.746747999999997</v>
      </c>
      <c r="AK497" t="s">
        <v>599</v>
      </c>
      <c r="AL497">
        <v>-89.353480000000005</v>
      </c>
      <c r="AM497">
        <v>100</v>
      </c>
      <c r="AN497">
        <v>9900</v>
      </c>
      <c r="AO497" t="s">
        <v>118</v>
      </c>
      <c r="AP497">
        <v>122</v>
      </c>
      <c r="AQ497">
        <v>113</v>
      </c>
      <c r="AR497">
        <v>2048</v>
      </c>
      <c r="AZ497">
        <v>1200</v>
      </c>
      <c r="BA497">
        <v>1</v>
      </c>
      <c r="BB497" t="str">
        <f t="shared" si="27"/>
        <v xml:space="preserve">N690LS  </v>
      </c>
      <c r="BC497">
        <v>1</v>
      </c>
      <c r="BE497">
        <v>0</v>
      </c>
      <c r="BF497">
        <v>0</v>
      </c>
      <c r="BG497">
        <v>0</v>
      </c>
      <c r="BH497">
        <v>10200</v>
      </c>
      <c r="BI497">
        <v>1</v>
      </c>
      <c r="BJ497">
        <v>1</v>
      </c>
      <c r="BK497">
        <v>1</v>
      </c>
      <c r="BL497">
        <v>0</v>
      </c>
      <c r="BO497">
        <v>0</v>
      </c>
      <c r="BP497">
        <v>0</v>
      </c>
      <c r="BW497" t="str">
        <f>"13:54:37.553"</f>
        <v>13:54:37.553</v>
      </c>
      <c r="CJ497">
        <v>0</v>
      </c>
      <c r="CK497">
        <v>2</v>
      </c>
      <c r="CL497">
        <v>0</v>
      </c>
      <c r="CM497">
        <v>2</v>
      </c>
      <c r="CN497">
        <v>0</v>
      </c>
      <c r="CO497">
        <v>7</v>
      </c>
      <c r="CP497" t="s">
        <v>119</v>
      </c>
      <c r="CQ497">
        <v>197</v>
      </c>
      <c r="CR497">
        <v>1</v>
      </c>
      <c r="CW497">
        <v>7231651</v>
      </c>
      <c r="CY497">
        <v>1</v>
      </c>
      <c r="CZ497">
        <v>0</v>
      </c>
      <c r="DA497">
        <v>0</v>
      </c>
      <c r="DB497">
        <v>0</v>
      </c>
      <c r="DC497">
        <v>0</v>
      </c>
      <c r="DD497">
        <v>0</v>
      </c>
      <c r="DE497">
        <v>0</v>
      </c>
      <c r="DF497">
        <v>0</v>
      </c>
      <c r="DG497">
        <v>0</v>
      </c>
      <c r="DH497">
        <v>0</v>
      </c>
      <c r="DI497">
        <v>0</v>
      </c>
    </row>
    <row r="498" spans="1:113" x14ac:dyDescent="0.3">
      <c r="A498" t="str">
        <f>"09/28/2021 13:54:37.775"</f>
        <v>09/28/2021 13:54:37.775</v>
      </c>
      <c r="C498" t="str">
        <f t="shared" si="26"/>
        <v>FFDFD3C0</v>
      </c>
      <c r="D498" t="s">
        <v>113</v>
      </c>
      <c r="E498">
        <v>7</v>
      </c>
      <c r="H498">
        <v>170</v>
      </c>
      <c r="I498" t="s">
        <v>114</v>
      </c>
      <c r="J498" t="s">
        <v>115</v>
      </c>
      <c r="K498">
        <v>0</v>
      </c>
      <c r="L498">
        <v>3</v>
      </c>
      <c r="M498">
        <v>0</v>
      </c>
      <c r="N498">
        <v>2</v>
      </c>
      <c r="O498">
        <v>1</v>
      </c>
      <c r="P498">
        <v>0</v>
      </c>
      <c r="Q498">
        <v>0</v>
      </c>
      <c r="S498" t="str">
        <f>"13:54:37.547"</f>
        <v>13:54:37.547</v>
      </c>
      <c r="T498" t="str">
        <f>"13:54:37.047"</f>
        <v>13:54:37.047</v>
      </c>
      <c r="U498" t="str">
        <f t="shared" si="25"/>
        <v>A92BC1</v>
      </c>
      <c r="V498">
        <v>0</v>
      </c>
      <c r="W498">
        <v>0</v>
      </c>
      <c r="X498">
        <v>2</v>
      </c>
      <c r="Z498">
        <v>0</v>
      </c>
      <c r="AA498">
        <v>9</v>
      </c>
      <c r="AB498">
        <v>3</v>
      </c>
      <c r="AC498">
        <v>0</v>
      </c>
      <c r="AD498">
        <v>10</v>
      </c>
      <c r="AE498">
        <v>0</v>
      </c>
      <c r="AF498">
        <v>3</v>
      </c>
      <c r="AG498">
        <v>2</v>
      </c>
      <c r="AH498">
        <v>0</v>
      </c>
      <c r="AI498" t="s">
        <v>598</v>
      </c>
      <c r="AJ498">
        <v>45.746747999999997</v>
      </c>
      <c r="AK498" t="s">
        <v>599</v>
      </c>
      <c r="AL498">
        <v>-89.353480000000005</v>
      </c>
      <c r="AM498">
        <v>100</v>
      </c>
      <c r="AN498">
        <v>9900</v>
      </c>
      <c r="AO498" t="s">
        <v>118</v>
      </c>
      <c r="AP498">
        <v>122</v>
      </c>
      <c r="AQ498">
        <v>113</v>
      </c>
      <c r="AR498">
        <v>2048</v>
      </c>
      <c r="AZ498">
        <v>1200</v>
      </c>
      <c r="BA498">
        <v>1</v>
      </c>
      <c r="BB498" t="str">
        <f t="shared" si="27"/>
        <v xml:space="preserve">N690LS  </v>
      </c>
      <c r="BC498">
        <v>1</v>
      </c>
      <c r="BE498">
        <v>0</v>
      </c>
      <c r="BF498">
        <v>0</v>
      </c>
      <c r="BG498">
        <v>0</v>
      </c>
      <c r="BH498">
        <v>10200</v>
      </c>
      <c r="BI498">
        <v>1</v>
      </c>
      <c r="BJ498">
        <v>1</v>
      </c>
      <c r="BK498">
        <v>1</v>
      </c>
      <c r="BL498">
        <v>0</v>
      </c>
      <c r="BO498">
        <v>0</v>
      </c>
      <c r="BP498">
        <v>0</v>
      </c>
      <c r="BW498" t="str">
        <f>"13:54:37.553"</f>
        <v>13:54:37.553</v>
      </c>
      <c r="CJ498">
        <v>0</v>
      </c>
      <c r="CK498">
        <v>2</v>
      </c>
      <c r="CL498">
        <v>0</v>
      </c>
      <c r="CM498">
        <v>2</v>
      </c>
      <c r="CN498">
        <v>0</v>
      </c>
      <c r="CO498">
        <v>7</v>
      </c>
      <c r="CP498" t="s">
        <v>119</v>
      </c>
      <c r="CQ498">
        <v>197</v>
      </c>
      <c r="CR498">
        <v>1</v>
      </c>
      <c r="CW498">
        <v>7231651</v>
      </c>
      <c r="CY498">
        <v>1</v>
      </c>
      <c r="CZ498">
        <v>0</v>
      </c>
      <c r="DA498">
        <v>1</v>
      </c>
      <c r="DB498">
        <v>0</v>
      </c>
      <c r="DC498">
        <v>0</v>
      </c>
      <c r="DD498">
        <v>0</v>
      </c>
      <c r="DE498">
        <v>0</v>
      </c>
      <c r="DF498">
        <v>0</v>
      </c>
      <c r="DG498">
        <v>0</v>
      </c>
      <c r="DH498">
        <v>0</v>
      </c>
      <c r="DI498">
        <v>0</v>
      </c>
    </row>
    <row r="499" spans="1:113" x14ac:dyDescent="0.3">
      <c r="A499" t="str">
        <f>"09/28/2021 13:54:38.902"</f>
        <v>09/28/2021 13:54:38.902</v>
      </c>
      <c r="C499" t="str">
        <f t="shared" si="26"/>
        <v>FFDFD3C0</v>
      </c>
      <c r="D499" t="s">
        <v>120</v>
      </c>
      <c r="E499">
        <v>12</v>
      </c>
      <c r="F499">
        <v>1012</v>
      </c>
      <c r="G499" t="s">
        <v>114</v>
      </c>
      <c r="J499" t="s">
        <v>121</v>
      </c>
      <c r="K499">
        <v>0</v>
      </c>
      <c r="L499">
        <v>3</v>
      </c>
      <c r="M499">
        <v>0</v>
      </c>
      <c r="N499">
        <v>2</v>
      </c>
      <c r="O499">
        <v>1</v>
      </c>
      <c r="P499">
        <v>0</v>
      </c>
      <c r="Q499">
        <v>0</v>
      </c>
      <c r="S499" t="str">
        <f>"13:54:38.672"</f>
        <v>13:54:38.672</v>
      </c>
      <c r="T499" t="str">
        <f>"13:54:38.172"</f>
        <v>13:54:38.172</v>
      </c>
      <c r="U499" t="str">
        <f t="shared" si="25"/>
        <v>A92BC1</v>
      </c>
      <c r="V499">
        <v>0</v>
      </c>
      <c r="W499">
        <v>0</v>
      </c>
      <c r="X499">
        <v>2</v>
      </c>
      <c r="Z499">
        <v>0</v>
      </c>
      <c r="AA499">
        <v>9</v>
      </c>
      <c r="AB499">
        <v>3</v>
      </c>
      <c r="AC499">
        <v>0</v>
      </c>
      <c r="AD499">
        <v>10</v>
      </c>
      <c r="AE499">
        <v>0</v>
      </c>
      <c r="AF499">
        <v>3</v>
      </c>
      <c r="AG499">
        <v>2</v>
      </c>
      <c r="AH499">
        <v>0</v>
      </c>
      <c r="AI499" t="s">
        <v>600</v>
      </c>
      <c r="AJ499">
        <v>45.747349</v>
      </c>
      <c r="AK499" t="s">
        <v>601</v>
      </c>
      <c r="AL499">
        <v>-89.352558000000002</v>
      </c>
      <c r="AM499">
        <v>100</v>
      </c>
      <c r="AN499">
        <v>9900</v>
      </c>
      <c r="AO499" t="s">
        <v>118</v>
      </c>
      <c r="AP499">
        <v>122</v>
      </c>
      <c r="AQ499">
        <v>113</v>
      </c>
      <c r="AR499">
        <v>2048</v>
      </c>
      <c r="AZ499">
        <v>1200</v>
      </c>
      <c r="BA499">
        <v>1</v>
      </c>
      <c r="BB499" t="str">
        <f t="shared" si="27"/>
        <v xml:space="preserve">N690LS  </v>
      </c>
      <c r="BC499">
        <v>1</v>
      </c>
      <c r="BE499">
        <v>0</v>
      </c>
      <c r="BF499">
        <v>0</v>
      </c>
      <c r="BG499">
        <v>0</v>
      </c>
      <c r="BH499">
        <v>10225</v>
      </c>
      <c r="BI499">
        <v>1</v>
      </c>
      <c r="BJ499">
        <v>1</v>
      </c>
      <c r="BK499">
        <v>1</v>
      </c>
      <c r="BL499">
        <v>0</v>
      </c>
      <c r="BO499">
        <v>0</v>
      </c>
      <c r="BP499">
        <v>0</v>
      </c>
      <c r="BW499" t="str">
        <f>"13:54:38.672"</f>
        <v>13:54:38.672</v>
      </c>
      <c r="CJ499">
        <v>0</v>
      </c>
      <c r="CK499">
        <v>2</v>
      </c>
      <c r="CL499">
        <v>0</v>
      </c>
      <c r="CM499">
        <v>2</v>
      </c>
      <c r="CN499">
        <v>0</v>
      </c>
      <c r="CO499">
        <v>7</v>
      </c>
      <c r="CP499" t="s">
        <v>119</v>
      </c>
      <c r="CQ499">
        <v>197</v>
      </c>
      <c r="CR499">
        <v>2</v>
      </c>
      <c r="CW499">
        <v>2311733</v>
      </c>
      <c r="CY499">
        <v>1</v>
      </c>
      <c r="CZ499">
        <v>0</v>
      </c>
      <c r="DA499">
        <v>0</v>
      </c>
      <c r="DB499">
        <v>0</v>
      </c>
      <c r="DC499">
        <v>0</v>
      </c>
      <c r="DD499">
        <v>0</v>
      </c>
      <c r="DE499">
        <v>0</v>
      </c>
      <c r="DF499">
        <v>0</v>
      </c>
      <c r="DG499">
        <v>0</v>
      </c>
      <c r="DH499">
        <v>0</v>
      </c>
      <c r="DI499">
        <v>0</v>
      </c>
    </row>
    <row r="500" spans="1:113" x14ac:dyDescent="0.3">
      <c r="A500" t="str">
        <f>"09/28/2021 13:54:38.902"</f>
        <v>09/28/2021 13:54:38.902</v>
      </c>
      <c r="C500" t="str">
        <f t="shared" si="26"/>
        <v>FFDFD3C0</v>
      </c>
      <c r="D500" t="s">
        <v>113</v>
      </c>
      <c r="E500">
        <v>7</v>
      </c>
      <c r="H500">
        <v>170</v>
      </c>
      <c r="I500" t="s">
        <v>114</v>
      </c>
      <c r="J500" t="s">
        <v>115</v>
      </c>
      <c r="K500">
        <v>0</v>
      </c>
      <c r="L500">
        <v>3</v>
      </c>
      <c r="M500">
        <v>0</v>
      </c>
      <c r="N500">
        <v>2</v>
      </c>
      <c r="O500">
        <v>1</v>
      </c>
      <c r="P500">
        <v>0</v>
      </c>
      <c r="Q500">
        <v>0</v>
      </c>
      <c r="S500" t="str">
        <f>"13:54:38.672"</f>
        <v>13:54:38.672</v>
      </c>
      <c r="T500" t="str">
        <f>"13:54:38.172"</f>
        <v>13:54:38.172</v>
      </c>
      <c r="U500" t="str">
        <f t="shared" si="25"/>
        <v>A92BC1</v>
      </c>
      <c r="V500">
        <v>0</v>
      </c>
      <c r="W500">
        <v>0</v>
      </c>
      <c r="X500">
        <v>2</v>
      </c>
      <c r="Z500">
        <v>0</v>
      </c>
      <c r="AA500">
        <v>9</v>
      </c>
      <c r="AB500">
        <v>3</v>
      </c>
      <c r="AC500">
        <v>0</v>
      </c>
      <c r="AD500">
        <v>10</v>
      </c>
      <c r="AE500">
        <v>0</v>
      </c>
      <c r="AF500">
        <v>3</v>
      </c>
      <c r="AG500">
        <v>2</v>
      </c>
      <c r="AH500">
        <v>0</v>
      </c>
      <c r="AI500" t="s">
        <v>600</v>
      </c>
      <c r="AJ500">
        <v>45.747349</v>
      </c>
      <c r="AK500" t="s">
        <v>601</v>
      </c>
      <c r="AL500">
        <v>-89.352558000000002</v>
      </c>
      <c r="AM500">
        <v>100</v>
      </c>
      <c r="AN500">
        <v>9900</v>
      </c>
      <c r="AO500" t="s">
        <v>118</v>
      </c>
      <c r="AP500">
        <v>122</v>
      </c>
      <c r="AQ500">
        <v>113</v>
      </c>
      <c r="AR500">
        <v>2048</v>
      </c>
      <c r="AZ500">
        <v>1200</v>
      </c>
      <c r="BA500">
        <v>1</v>
      </c>
      <c r="BB500" t="str">
        <f t="shared" si="27"/>
        <v xml:space="preserve">N690LS  </v>
      </c>
      <c r="BC500">
        <v>1</v>
      </c>
      <c r="BE500">
        <v>0</v>
      </c>
      <c r="BF500">
        <v>0</v>
      </c>
      <c r="BG500">
        <v>0</v>
      </c>
      <c r="BH500">
        <v>10225</v>
      </c>
      <c r="BI500">
        <v>1</v>
      </c>
      <c r="BJ500">
        <v>1</v>
      </c>
      <c r="BK500">
        <v>1</v>
      </c>
      <c r="BL500">
        <v>0</v>
      </c>
      <c r="BO500">
        <v>0</v>
      </c>
      <c r="BP500">
        <v>0</v>
      </c>
      <c r="BW500" t="str">
        <f>"13:54:38.672"</f>
        <v>13:54:38.672</v>
      </c>
      <c r="CJ500">
        <v>0</v>
      </c>
      <c r="CK500">
        <v>2</v>
      </c>
      <c r="CL500">
        <v>0</v>
      </c>
      <c r="CM500">
        <v>2</v>
      </c>
      <c r="CN500">
        <v>0</v>
      </c>
      <c r="CO500">
        <v>7</v>
      </c>
      <c r="CP500" t="s">
        <v>119</v>
      </c>
      <c r="CQ500">
        <v>197</v>
      </c>
      <c r="CR500">
        <v>2</v>
      </c>
      <c r="CW500">
        <v>2311733</v>
      </c>
      <c r="CY500">
        <v>1</v>
      </c>
      <c r="CZ500">
        <v>0</v>
      </c>
      <c r="DA500">
        <v>1</v>
      </c>
      <c r="DB500">
        <v>0</v>
      </c>
      <c r="DC500">
        <v>0</v>
      </c>
      <c r="DD500">
        <v>0</v>
      </c>
      <c r="DE500">
        <v>0</v>
      </c>
      <c r="DF500">
        <v>0</v>
      </c>
      <c r="DG500">
        <v>0</v>
      </c>
      <c r="DH500">
        <v>0</v>
      </c>
      <c r="DI500">
        <v>0</v>
      </c>
    </row>
    <row r="501" spans="1:113" x14ac:dyDescent="0.3">
      <c r="A501" t="str">
        <f>"09/28/2021 13:54:39.839"</f>
        <v>09/28/2021 13:54:39.839</v>
      </c>
      <c r="C501" t="str">
        <f t="shared" si="26"/>
        <v>FFDFD3C0</v>
      </c>
      <c r="D501" t="s">
        <v>120</v>
      </c>
      <c r="E501">
        <v>12</v>
      </c>
      <c r="F501">
        <v>1012</v>
      </c>
      <c r="G501" t="s">
        <v>114</v>
      </c>
      <c r="J501" t="s">
        <v>121</v>
      </c>
      <c r="K501">
        <v>0</v>
      </c>
      <c r="L501">
        <v>3</v>
      </c>
      <c r="M501">
        <v>0</v>
      </c>
      <c r="N501">
        <v>2</v>
      </c>
      <c r="O501">
        <v>1</v>
      </c>
      <c r="P501">
        <v>0</v>
      </c>
      <c r="Q501">
        <v>0</v>
      </c>
      <c r="S501" t="str">
        <f>"13:54:39.648"</f>
        <v>13:54:39.648</v>
      </c>
      <c r="T501" t="str">
        <f>"13:54:39.248"</f>
        <v>13:54:39.248</v>
      </c>
      <c r="U501" t="str">
        <f t="shared" si="25"/>
        <v>A92BC1</v>
      </c>
      <c r="V501">
        <v>0</v>
      </c>
      <c r="W501">
        <v>0</v>
      </c>
      <c r="X501">
        <v>2</v>
      </c>
      <c r="Z501">
        <v>0</v>
      </c>
      <c r="AA501">
        <v>9</v>
      </c>
      <c r="AB501">
        <v>3</v>
      </c>
      <c r="AC501">
        <v>0</v>
      </c>
      <c r="AD501">
        <v>10</v>
      </c>
      <c r="AE501">
        <v>0</v>
      </c>
      <c r="AF501">
        <v>3</v>
      </c>
      <c r="AG501">
        <v>2</v>
      </c>
      <c r="AH501">
        <v>0</v>
      </c>
      <c r="AI501" t="s">
        <v>602</v>
      </c>
      <c r="AJ501">
        <v>45.747864</v>
      </c>
      <c r="AK501" t="s">
        <v>603</v>
      </c>
      <c r="AL501">
        <v>-89.351806999999994</v>
      </c>
      <c r="AM501">
        <v>100</v>
      </c>
      <c r="AN501">
        <v>10000</v>
      </c>
      <c r="AO501" t="s">
        <v>118</v>
      </c>
      <c r="AP501">
        <v>121</v>
      </c>
      <c r="AQ501">
        <v>113</v>
      </c>
      <c r="AR501">
        <v>2048</v>
      </c>
      <c r="AZ501">
        <v>1200</v>
      </c>
      <c r="BA501">
        <v>1</v>
      </c>
      <c r="BB501" t="str">
        <f t="shared" si="27"/>
        <v xml:space="preserve">N690LS  </v>
      </c>
      <c r="BC501">
        <v>1</v>
      </c>
      <c r="BE501">
        <v>0</v>
      </c>
      <c r="BF501">
        <v>0</v>
      </c>
      <c r="BG501">
        <v>0</v>
      </c>
      <c r="BH501">
        <v>10275</v>
      </c>
      <c r="BI501">
        <v>1</v>
      </c>
      <c r="BJ501">
        <v>1</v>
      </c>
      <c r="BK501">
        <v>1</v>
      </c>
      <c r="BL501">
        <v>0</v>
      </c>
      <c r="BO501">
        <v>0</v>
      </c>
      <c r="BP501">
        <v>0</v>
      </c>
      <c r="BW501" t="str">
        <f>"13:54:39.655"</f>
        <v>13:54:39.655</v>
      </c>
      <c r="CJ501">
        <v>0</v>
      </c>
      <c r="CK501">
        <v>2</v>
      </c>
      <c r="CL501">
        <v>0</v>
      </c>
      <c r="CM501">
        <v>2</v>
      </c>
      <c r="CN501">
        <v>0</v>
      </c>
      <c r="CO501">
        <v>7</v>
      </c>
      <c r="CP501" t="s">
        <v>119</v>
      </c>
      <c r="CQ501">
        <v>197</v>
      </c>
      <c r="CR501">
        <v>2</v>
      </c>
      <c r="CW501">
        <v>2312600</v>
      </c>
      <c r="CY501">
        <v>1</v>
      </c>
      <c r="CZ501">
        <v>0</v>
      </c>
      <c r="DA501">
        <v>0</v>
      </c>
      <c r="DB501">
        <v>0</v>
      </c>
      <c r="DC501">
        <v>0</v>
      </c>
      <c r="DD501">
        <v>1</v>
      </c>
      <c r="DE501">
        <v>0</v>
      </c>
      <c r="DF501">
        <v>0</v>
      </c>
      <c r="DG501">
        <v>0</v>
      </c>
      <c r="DH501">
        <v>0</v>
      </c>
      <c r="DI501">
        <v>0</v>
      </c>
    </row>
    <row r="502" spans="1:113" x14ac:dyDescent="0.3">
      <c r="A502" t="str">
        <f>"09/28/2021 13:54:39.855"</f>
        <v>09/28/2021 13:54:39.855</v>
      </c>
      <c r="C502" t="str">
        <f t="shared" si="26"/>
        <v>FFDFD3C0</v>
      </c>
      <c r="D502" t="s">
        <v>113</v>
      </c>
      <c r="E502">
        <v>7</v>
      </c>
      <c r="H502">
        <v>170</v>
      </c>
      <c r="I502" t="s">
        <v>114</v>
      </c>
      <c r="J502" t="s">
        <v>115</v>
      </c>
      <c r="K502">
        <v>0</v>
      </c>
      <c r="L502">
        <v>3</v>
      </c>
      <c r="M502">
        <v>0</v>
      </c>
      <c r="N502">
        <v>2</v>
      </c>
      <c r="O502">
        <v>1</v>
      </c>
      <c r="P502">
        <v>0</v>
      </c>
      <c r="Q502">
        <v>0</v>
      </c>
      <c r="S502" t="str">
        <f>"13:54:39.648"</f>
        <v>13:54:39.648</v>
      </c>
      <c r="T502" t="str">
        <f>"13:54:39.248"</f>
        <v>13:54:39.248</v>
      </c>
      <c r="U502" t="str">
        <f t="shared" si="25"/>
        <v>A92BC1</v>
      </c>
      <c r="V502">
        <v>0</v>
      </c>
      <c r="W502">
        <v>0</v>
      </c>
      <c r="X502">
        <v>2</v>
      </c>
      <c r="Z502">
        <v>0</v>
      </c>
      <c r="AA502">
        <v>9</v>
      </c>
      <c r="AB502">
        <v>3</v>
      </c>
      <c r="AC502">
        <v>0</v>
      </c>
      <c r="AD502">
        <v>10</v>
      </c>
      <c r="AE502">
        <v>0</v>
      </c>
      <c r="AF502">
        <v>3</v>
      </c>
      <c r="AG502">
        <v>2</v>
      </c>
      <c r="AH502">
        <v>0</v>
      </c>
      <c r="AI502" t="s">
        <v>602</v>
      </c>
      <c r="AJ502">
        <v>45.747864</v>
      </c>
      <c r="AK502" t="s">
        <v>603</v>
      </c>
      <c r="AL502">
        <v>-89.351806999999994</v>
      </c>
      <c r="AM502">
        <v>100</v>
      </c>
      <c r="AN502">
        <v>10000</v>
      </c>
      <c r="AO502" t="s">
        <v>118</v>
      </c>
      <c r="AP502">
        <v>121</v>
      </c>
      <c r="AQ502">
        <v>113</v>
      </c>
      <c r="AR502">
        <v>2048</v>
      </c>
      <c r="AZ502">
        <v>1200</v>
      </c>
      <c r="BA502">
        <v>1</v>
      </c>
      <c r="BB502" t="str">
        <f t="shared" si="27"/>
        <v xml:space="preserve">N690LS  </v>
      </c>
      <c r="BC502">
        <v>1</v>
      </c>
      <c r="BE502">
        <v>0</v>
      </c>
      <c r="BF502">
        <v>0</v>
      </c>
      <c r="BG502">
        <v>0</v>
      </c>
      <c r="BH502">
        <v>10275</v>
      </c>
      <c r="BI502">
        <v>1</v>
      </c>
      <c r="BJ502">
        <v>1</v>
      </c>
      <c r="BK502">
        <v>1</v>
      </c>
      <c r="BL502">
        <v>0</v>
      </c>
      <c r="BO502">
        <v>0</v>
      </c>
      <c r="BP502">
        <v>0</v>
      </c>
      <c r="BW502" t="str">
        <f>"13:54:39.655"</f>
        <v>13:54:39.655</v>
      </c>
      <c r="CJ502">
        <v>0</v>
      </c>
      <c r="CK502">
        <v>2</v>
      </c>
      <c r="CL502">
        <v>0</v>
      </c>
      <c r="CM502">
        <v>2</v>
      </c>
      <c r="CN502">
        <v>0</v>
      </c>
      <c r="CO502">
        <v>7</v>
      </c>
      <c r="CP502" t="s">
        <v>119</v>
      </c>
      <c r="CQ502">
        <v>197</v>
      </c>
      <c r="CR502">
        <v>2</v>
      </c>
      <c r="CW502">
        <v>2312600</v>
      </c>
      <c r="CY502">
        <v>1</v>
      </c>
      <c r="CZ502">
        <v>0</v>
      </c>
      <c r="DA502">
        <v>1</v>
      </c>
      <c r="DB502">
        <v>0</v>
      </c>
      <c r="DC502">
        <v>0</v>
      </c>
      <c r="DD502">
        <v>1</v>
      </c>
      <c r="DE502">
        <v>0</v>
      </c>
      <c r="DF502">
        <v>0</v>
      </c>
      <c r="DG502">
        <v>0</v>
      </c>
      <c r="DH502">
        <v>0</v>
      </c>
      <c r="DI502">
        <v>0</v>
      </c>
    </row>
    <row r="503" spans="1:113" x14ac:dyDescent="0.3">
      <c r="A503" t="str">
        <f>"09/28/2021 13:54:41.058"</f>
        <v>09/28/2021 13:54:41.058</v>
      </c>
      <c r="C503" t="str">
        <f t="shared" si="26"/>
        <v>FFDFD3C0</v>
      </c>
      <c r="D503" t="s">
        <v>120</v>
      </c>
      <c r="E503">
        <v>12</v>
      </c>
      <c r="F503">
        <v>1012</v>
      </c>
      <c r="G503" t="s">
        <v>114</v>
      </c>
      <c r="J503" t="s">
        <v>121</v>
      </c>
      <c r="K503">
        <v>0</v>
      </c>
      <c r="L503">
        <v>3</v>
      </c>
      <c r="M503">
        <v>0</v>
      </c>
      <c r="N503">
        <v>2</v>
      </c>
      <c r="O503">
        <v>1</v>
      </c>
      <c r="P503">
        <v>0</v>
      </c>
      <c r="Q503">
        <v>0</v>
      </c>
      <c r="S503" t="str">
        <f>"13:54:40.820"</f>
        <v>13:54:40.820</v>
      </c>
      <c r="T503" t="str">
        <f>"13:54:40.320"</f>
        <v>13:54:40.320</v>
      </c>
      <c r="U503" t="str">
        <f t="shared" si="25"/>
        <v>A92BC1</v>
      </c>
      <c r="V503">
        <v>0</v>
      </c>
      <c r="W503">
        <v>0</v>
      </c>
      <c r="X503">
        <v>2</v>
      </c>
      <c r="Z503">
        <v>0</v>
      </c>
      <c r="AA503">
        <v>9</v>
      </c>
      <c r="AB503">
        <v>3</v>
      </c>
      <c r="AC503">
        <v>0</v>
      </c>
      <c r="AD503">
        <v>10</v>
      </c>
      <c r="AE503">
        <v>0</v>
      </c>
      <c r="AF503">
        <v>3</v>
      </c>
      <c r="AG503">
        <v>2</v>
      </c>
      <c r="AH503">
        <v>0</v>
      </c>
      <c r="AI503" t="s">
        <v>604</v>
      </c>
      <c r="AJ503">
        <v>45.748465000000003</v>
      </c>
      <c r="AK503" t="s">
        <v>605</v>
      </c>
      <c r="AL503">
        <v>-89.350841000000003</v>
      </c>
      <c r="AM503">
        <v>100</v>
      </c>
      <c r="AN503">
        <v>10000</v>
      </c>
      <c r="AO503" t="s">
        <v>118</v>
      </c>
      <c r="AP503">
        <v>121</v>
      </c>
      <c r="AQ503">
        <v>113</v>
      </c>
      <c r="AR503">
        <v>2048</v>
      </c>
      <c r="AZ503">
        <v>1200</v>
      </c>
      <c r="BA503">
        <v>1</v>
      </c>
      <c r="BB503" t="str">
        <f t="shared" si="27"/>
        <v xml:space="preserve">N690LS  </v>
      </c>
      <c r="BC503">
        <v>1</v>
      </c>
      <c r="BE503">
        <v>0</v>
      </c>
      <c r="BF503">
        <v>0</v>
      </c>
      <c r="BG503">
        <v>0</v>
      </c>
      <c r="BH503">
        <v>10300</v>
      </c>
      <c r="BI503">
        <v>1</v>
      </c>
      <c r="BJ503">
        <v>1</v>
      </c>
      <c r="BK503">
        <v>1</v>
      </c>
      <c r="BL503">
        <v>0</v>
      </c>
      <c r="BO503">
        <v>0</v>
      </c>
      <c r="BP503">
        <v>0</v>
      </c>
      <c r="BW503" t="str">
        <f>"13:54:40.823"</f>
        <v>13:54:40.823</v>
      </c>
      <c r="CJ503">
        <v>0</v>
      </c>
      <c r="CK503">
        <v>2</v>
      </c>
      <c r="CL503">
        <v>0</v>
      </c>
      <c r="CM503">
        <v>2</v>
      </c>
      <c r="CN503">
        <v>0</v>
      </c>
      <c r="CO503">
        <v>7</v>
      </c>
      <c r="CP503" t="s">
        <v>119</v>
      </c>
      <c r="CQ503">
        <v>197</v>
      </c>
      <c r="CR503">
        <v>1</v>
      </c>
      <c r="CW503">
        <v>7235221</v>
      </c>
      <c r="CY503">
        <v>1</v>
      </c>
      <c r="CZ503">
        <v>0</v>
      </c>
      <c r="DA503">
        <v>0</v>
      </c>
      <c r="DB503">
        <v>0</v>
      </c>
      <c r="DC503">
        <v>0</v>
      </c>
      <c r="DD503">
        <v>1</v>
      </c>
      <c r="DE503">
        <v>0</v>
      </c>
      <c r="DF503">
        <v>0</v>
      </c>
      <c r="DG503">
        <v>0</v>
      </c>
      <c r="DH503">
        <v>0</v>
      </c>
      <c r="DI503">
        <v>0</v>
      </c>
    </row>
    <row r="504" spans="1:113" x14ac:dyDescent="0.3">
      <c r="A504" t="str">
        <f>"09/28/2021 13:54:41.074"</f>
        <v>09/28/2021 13:54:41.074</v>
      </c>
      <c r="C504" t="str">
        <f t="shared" si="26"/>
        <v>FFDFD3C0</v>
      </c>
      <c r="D504" t="s">
        <v>113</v>
      </c>
      <c r="E504">
        <v>7</v>
      </c>
      <c r="H504">
        <v>170</v>
      </c>
      <c r="I504" t="s">
        <v>114</v>
      </c>
      <c r="J504" t="s">
        <v>115</v>
      </c>
      <c r="K504">
        <v>0</v>
      </c>
      <c r="L504">
        <v>3</v>
      </c>
      <c r="M504">
        <v>0</v>
      </c>
      <c r="N504">
        <v>2</v>
      </c>
      <c r="O504">
        <v>1</v>
      </c>
      <c r="P504">
        <v>0</v>
      </c>
      <c r="Q504">
        <v>0</v>
      </c>
      <c r="S504" t="str">
        <f>"13:54:40.820"</f>
        <v>13:54:40.820</v>
      </c>
      <c r="T504" t="str">
        <f>"13:54:40.320"</f>
        <v>13:54:40.320</v>
      </c>
      <c r="U504" t="str">
        <f t="shared" si="25"/>
        <v>A92BC1</v>
      </c>
      <c r="V504">
        <v>0</v>
      </c>
      <c r="W504">
        <v>0</v>
      </c>
      <c r="X504">
        <v>2</v>
      </c>
      <c r="Z504">
        <v>0</v>
      </c>
      <c r="AA504">
        <v>9</v>
      </c>
      <c r="AB504">
        <v>3</v>
      </c>
      <c r="AC504">
        <v>0</v>
      </c>
      <c r="AD504">
        <v>10</v>
      </c>
      <c r="AE504">
        <v>0</v>
      </c>
      <c r="AF504">
        <v>3</v>
      </c>
      <c r="AG504">
        <v>2</v>
      </c>
      <c r="AH504">
        <v>0</v>
      </c>
      <c r="AI504" t="s">
        <v>604</v>
      </c>
      <c r="AJ504">
        <v>45.748465000000003</v>
      </c>
      <c r="AK504" t="s">
        <v>605</v>
      </c>
      <c r="AL504">
        <v>-89.350841000000003</v>
      </c>
      <c r="AM504">
        <v>100</v>
      </c>
      <c r="AN504">
        <v>10000</v>
      </c>
      <c r="AO504" t="s">
        <v>118</v>
      </c>
      <c r="AP504">
        <v>121</v>
      </c>
      <c r="AQ504">
        <v>113</v>
      </c>
      <c r="AR504">
        <v>2048</v>
      </c>
      <c r="AZ504">
        <v>1200</v>
      </c>
      <c r="BA504">
        <v>1</v>
      </c>
      <c r="BB504" t="str">
        <f t="shared" si="27"/>
        <v xml:space="preserve">N690LS  </v>
      </c>
      <c r="BC504">
        <v>1</v>
      </c>
      <c r="BE504">
        <v>0</v>
      </c>
      <c r="BF504">
        <v>0</v>
      </c>
      <c r="BG504">
        <v>0</v>
      </c>
      <c r="BH504">
        <v>10300</v>
      </c>
      <c r="BI504">
        <v>1</v>
      </c>
      <c r="BJ504">
        <v>1</v>
      </c>
      <c r="BK504">
        <v>1</v>
      </c>
      <c r="BL504">
        <v>0</v>
      </c>
      <c r="BO504">
        <v>0</v>
      </c>
      <c r="BP504">
        <v>0</v>
      </c>
      <c r="BW504" t="str">
        <f>"13:54:40.823"</f>
        <v>13:54:40.823</v>
      </c>
      <c r="CJ504">
        <v>0</v>
      </c>
      <c r="CK504">
        <v>2</v>
      </c>
      <c r="CL504">
        <v>0</v>
      </c>
      <c r="CM504">
        <v>2</v>
      </c>
      <c r="CN504">
        <v>0</v>
      </c>
      <c r="CO504">
        <v>7</v>
      </c>
      <c r="CP504" t="s">
        <v>119</v>
      </c>
      <c r="CQ504">
        <v>197</v>
      </c>
      <c r="CR504">
        <v>1</v>
      </c>
      <c r="CW504">
        <v>7235221</v>
      </c>
      <c r="CY504">
        <v>1</v>
      </c>
      <c r="CZ504">
        <v>0</v>
      </c>
      <c r="DA504">
        <v>1</v>
      </c>
      <c r="DB504">
        <v>0</v>
      </c>
      <c r="DC504">
        <v>0</v>
      </c>
      <c r="DD504">
        <v>1</v>
      </c>
      <c r="DE504">
        <v>0</v>
      </c>
      <c r="DF504">
        <v>0</v>
      </c>
      <c r="DG504">
        <v>0</v>
      </c>
      <c r="DH504">
        <v>0</v>
      </c>
      <c r="DI504">
        <v>0</v>
      </c>
    </row>
    <row r="505" spans="1:113" x14ac:dyDescent="0.3">
      <c r="A505" t="str">
        <f>"09/28/2021 13:54:41.979"</f>
        <v>09/28/2021 13:54:41.979</v>
      </c>
      <c r="C505" t="str">
        <f t="shared" si="26"/>
        <v>FFDFD3C0</v>
      </c>
      <c r="D505" t="s">
        <v>120</v>
      </c>
      <c r="E505">
        <v>12</v>
      </c>
      <c r="F505">
        <v>1012</v>
      </c>
      <c r="G505" t="s">
        <v>114</v>
      </c>
      <c r="J505" t="s">
        <v>121</v>
      </c>
      <c r="K505">
        <v>0</v>
      </c>
      <c r="L505">
        <v>3</v>
      </c>
      <c r="M505">
        <v>0</v>
      </c>
      <c r="N505">
        <v>2</v>
      </c>
      <c r="O505">
        <v>1</v>
      </c>
      <c r="P505">
        <v>0</v>
      </c>
      <c r="Q505">
        <v>0</v>
      </c>
      <c r="S505" t="str">
        <f>"13:54:41.773"</f>
        <v>13:54:41.773</v>
      </c>
      <c r="T505" t="str">
        <f>"13:54:41.373"</f>
        <v>13:54:41.373</v>
      </c>
      <c r="U505" t="str">
        <f t="shared" si="25"/>
        <v>A92BC1</v>
      </c>
      <c r="V505">
        <v>0</v>
      </c>
      <c r="W505">
        <v>0</v>
      </c>
      <c r="X505">
        <v>2</v>
      </c>
      <c r="Z505">
        <v>0</v>
      </c>
      <c r="AA505">
        <v>9</v>
      </c>
      <c r="AB505">
        <v>3</v>
      </c>
      <c r="AC505">
        <v>0</v>
      </c>
      <c r="AD505">
        <v>10</v>
      </c>
      <c r="AE505">
        <v>0</v>
      </c>
      <c r="AF505">
        <v>3</v>
      </c>
      <c r="AG505">
        <v>2</v>
      </c>
      <c r="AH505">
        <v>0</v>
      </c>
      <c r="AI505" t="s">
        <v>606</v>
      </c>
      <c r="AJ505">
        <v>45.748936999999998</v>
      </c>
      <c r="AK505" t="s">
        <v>607</v>
      </c>
      <c r="AL505">
        <v>-89.350069000000005</v>
      </c>
      <c r="AM505">
        <v>100</v>
      </c>
      <c r="AN505">
        <v>10000</v>
      </c>
      <c r="AO505" t="s">
        <v>118</v>
      </c>
      <c r="AP505">
        <v>121</v>
      </c>
      <c r="AQ505">
        <v>113</v>
      </c>
      <c r="AR505">
        <v>2048</v>
      </c>
      <c r="AZ505">
        <v>1200</v>
      </c>
      <c r="BA505">
        <v>1</v>
      </c>
      <c r="BB505" t="str">
        <f t="shared" si="27"/>
        <v xml:space="preserve">N690LS  </v>
      </c>
      <c r="BC505">
        <v>1</v>
      </c>
      <c r="BE505">
        <v>0</v>
      </c>
      <c r="BF505">
        <v>0</v>
      </c>
      <c r="BG505">
        <v>0</v>
      </c>
      <c r="BH505">
        <v>10350</v>
      </c>
      <c r="BI505">
        <v>1</v>
      </c>
      <c r="BJ505">
        <v>1</v>
      </c>
      <c r="BK505">
        <v>1</v>
      </c>
      <c r="BL505">
        <v>0</v>
      </c>
      <c r="BO505">
        <v>0</v>
      </c>
      <c r="BP505">
        <v>0</v>
      </c>
      <c r="BW505" t="str">
        <f>"13:54:41.777"</f>
        <v>13:54:41.777</v>
      </c>
      <c r="CJ505">
        <v>0</v>
      </c>
      <c r="CK505">
        <v>2</v>
      </c>
      <c r="CL505">
        <v>0</v>
      </c>
      <c r="CM505">
        <v>2</v>
      </c>
      <c r="CN505">
        <v>0</v>
      </c>
      <c r="CO505">
        <v>7</v>
      </c>
      <c r="CP505" t="s">
        <v>119</v>
      </c>
      <c r="CQ505">
        <v>197</v>
      </c>
      <c r="CR505">
        <v>1</v>
      </c>
      <c r="CW505">
        <v>7236377</v>
      </c>
      <c r="CY505">
        <v>1</v>
      </c>
      <c r="CZ505">
        <v>0</v>
      </c>
      <c r="DA505">
        <v>0</v>
      </c>
      <c r="DB505">
        <v>0</v>
      </c>
      <c r="DC505">
        <v>0</v>
      </c>
      <c r="DD505">
        <v>1</v>
      </c>
      <c r="DE505">
        <v>0</v>
      </c>
      <c r="DF505">
        <v>0</v>
      </c>
      <c r="DG505">
        <v>0</v>
      </c>
      <c r="DH505">
        <v>0</v>
      </c>
      <c r="DI505">
        <v>0</v>
      </c>
    </row>
    <row r="506" spans="1:113" x14ac:dyDescent="0.3">
      <c r="A506" t="str">
        <f>"09/28/2021 13:54:41.979"</f>
        <v>09/28/2021 13:54:41.979</v>
      </c>
      <c r="C506" t="str">
        <f t="shared" si="26"/>
        <v>FFDFD3C0</v>
      </c>
      <c r="D506" t="s">
        <v>113</v>
      </c>
      <c r="E506">
        <v>7</v>
      </c>
      <c r="H506">
        <v>170</v>
      </c>
      <c r="I506" t="s">
        <v>114</v>
      </c>
      <c r="J506" t="s">
        <v>115</v>
      </c>
      <c r="K506">
        <v>0</v>
      </c>
      <c r="L506">
        <v>3</v>
      </c>
      <c r="M506">
        <v>0</v>
      </c>
      <c r="N506">
        <v>2</v>
      </c>
      <c r="O506">
        <v>1</v>
      </c>
      <c r="P506">
        <v>0</v>
      </c>
      <c r="Q506">
        <v>0</v>
      </c>
      <c r="S506" t="str">
        <f>"13:54:41.773"</f>
        <v>13:54:41.773</v>
      </c>
      <c r="T506" t="str">
        <f>"13:54:41.373"</f>
        <v>13:54:41.373</v>
      </c>
      <c r="U506" t="str">
        <f t="shared" si="25"/>
        <v>A92BC1</v>
      </c>
      <c r="V506">
        <v>0</v>
      </c>
      <c r="W506">
        <v>0</v>
      </c>
      <c r="X506">
        <v>2</v>
      </c>
      <c r="Z506">
        <v>0</v>
      </c>
      <c r="AA506">
        <v>9</v>
      </c>
      <c r="AB506">
        <v>3</v>
      </c>
      <c r="AC506">
        <v>0</v>
      </c>
      <c r="AD506">
        <v>10</v>
      </c>
      <c r="AE506">
        <v>0</v>
      </c>
      <c r="AF506">
        <v>3</v>
      </c>
      <c r="AG506">
        <v>2</v>
      </c>
      <c r="AH506">
        <v>0</v>
      </c>
      <c r="AI506" t="s">
        <v>606</v>
      </c>
      <c r="AJ506">
        <v>45.748936999999998</v>
      </c>
      <c r="AK506" t="s">
        <v>607</v>
      </c>
      <c r="AL506">
        <v>-89.350069000000005</v>
      </c>
      <c r="AM506">
        <v>100</v>
      </c>
      <c r="AN506">
        <v>10000</v>
      </c>
      <c r="AO506" t="s">
        <v>118</v>
      </c>
      <c r="AP506">
        <v>121</v>
      </c>
      <c r="AQ506">
        <v>113</v>
      </c>
      <c r="AR506">
        <v>2048</v>
      </c>
      <c r="AZ506">
        <v>1200</v>
      </c>
      <c r="BA506">
        <v>1</v>
      </c>
      <c r="BB506" t="str">
        <f t="shared" si="27"/>
        <v xml:space="preserve">N690LS  </v>
      </c>
      <c r="BC506">
        <v>1</v>
      </c>
      <c r="BE506">
        <v>0</v>
      </c>
      <c r="BF506">
        <v>0</v>
      </c>
      <c r="BG506">
        <v>0</v>
      </c>
      <c r="BH506">
        <v>10350</v>
      </c>
      <c r="BI506">
        <v>1</v>
      </c>
      <c r="BJ506">
        <v>1</v>
      </c>
      <c r="BK506">
        <v>1</v>
      </c>
      <c r="BL506">
        <v>0</v>
      </c>
      <c r="BO506">
        <v>0</v>
      </c>
      <c r="BP506">
        <v>0</v>
      </c>
      <c r="BW506" t="str">
        <f>"13:54:41.777"</f>
        <v>13:54:41.777</v>
      </c>
      <c r="CJ506">
        <v>0</v>
      </c>
      <c r="CK506">
        <v>2</v>
      </c>
      <c r="CL506">
        <v>0</v>
      </c>
      <c r="CM506">
        <v>2</v>
      </c>
      <c r="CN506">
        <v>0</v>
      </c>
      <c r="CO506">
        <v>7</v>
      </c>
      <c r="CP506" t="s">
        <v>119</v>
      </c>
      <c r="CQ506">
        <v>197</v>
      </c>
      <c r="CR506">
        <v>1</v>
      </c>
      <c r="CW506">
        <v>7236377</v>
      </c>
      <c r="CY506">
        <v>1</v>
      </c>
      <c r="CZ506">
        <v>0</v>
      </c>
      <c r="DA506">
        <v>1</v>
      </c>
      <c r="DB506">
        <v>0</v>
      </c>
      <c r="DC506">
        <v>0</v>
      </c>
      <c r="DD506">
        <v>1</v>
      </c>
      <c r="DE506">
        <v>0</v>
      </c>
      <c r="DF506">
        <v>0</v>
      </c>
      <c r="DG506">
        <v>0</v>
      </c>
      <c r="DH506">
        <v>0</v>
      </c>
      <c r="DI506">
        <v>0</v>
      </c>
    </row>
    <row r="507" spans="1:113" x14ac:dyDescent="0.3">
      <c r="A507" t="str">
        <f>"09/28/2021 13:54:42.916"</f>
        <v>09/28/2021 13:54:42.916</v>
      </c>
      <c r="C507" t="str">
        <f t="shared" si="26"/>
        <v>FFDFD3C0</v>
      </c>
      <c r="D507" t="s">
        <v>120</v>
      </c>
      <c r="E507">
        <v>12</v>
      </c>
      <c r="F507">
        <v>1012</v>
      </c>
      <c r="G507" t="s">
        <v>114</v>
      </c>
      <c r="J507" t="s">
        <v>121</v>
      </c>
      <c r="K507">
        <v>0</v>
      </c>
      <c r="L507">
        <v>3</v>
      </c>
      <c r="M507">
        <v>0</v>
      </c>
      <c r="N507">
        <v>2</v>
      </c>
      <c r="O507">
        <v>1</v>
      </c>
      <c r="P507">
        <v>0</v>
      </c>
      <c r="Q507">
        <v>0</v>
      </c>
      <c r="S507" t="str">
        <f>"13:54:42.633"</f>
        <v>13:54:42.633</v>
      </c>
      <c r="T507" t="str">
        <f>"13:54:42.233"</f>
        <v>13:54:42.233</v>
      </c>
      <c r="U507" t="str">
        <f t="shared" si="25"/>
        <v>A92BC1</v>
      </c>
      <c r="V507">
        <v>0</v>
      </c>
      <c r="W507">
        <v>0</v>
      </c>
      <c r="X507">
        <v>2</v>
      </c>
      <c r="Z507">
        <v>0</v>
      </c>
      <c r="AA507">
        <v>9</v>
      </c>
      <c r="AB507">
        <v>3</v>
      </c>
      <c r="AC507">
        <v>0</v>
      </c>
      <c r="AD507">
        <v>10</v>
      </c>
      <c r="AE507">
        <v>0</v>
      </c>
      <c r="AF507">
        <v>3</v>
      </c>
      <c r="AG507">
        <v>2</v>
      </c>
      <c r="AH507">
        <v>0</v>
      </c>
      <c r="AI507" t="s">
        <v>608</v>
      </c>
      <c r="AJ507">
        <v>45.749388000000003</v>
      </c>
      <c r="AK507" t="s">
        <v>609</v>
      </c>
      <c r="AL507">
        <v>-89.349402999999995</v>
      </c>
      <c r="AM507">
        <v>100</v>
      </c>
      <c r="AN507">
        <v>10000</v>
      </c>
      <c r="AO507" t="s">
        <v>118</v>
      </c>
      <c r="AP507">
        <v>121</v>
      </c>
      <c r="AQ507">
        <v>113</v>
      </c>
      <c r="AR507">
        <v>2048</v>
      </c>
      <c r="AZ507">
        <v>1200</v>
      </c>
      <c r="BA507">
        <v>1</v>
      </c>
      <c r="BB507" t="str">
        <f t="shared" si="27"/>
        <v xml:space="preserve">N690LS  </v>
      </c>
      <c r="BC507">
        <v>1</v>
      </c>
      <c r="BE507">
        <v>0</v>
      </c>
      <c r="BF507">
        <v>0</v>
      </c>
      <c r="BG507">
        <v>0</v>
      </c>
      <c r="BH507">
        <v>10375</v>
      </c>
      <c r="BI507">
        <v>1</v>
      </c>
      <c r="BJ507">
        <v>1</v>
      </c>
      <c r="BK507">
        <v>1</v>
      </c>
      <c r="BL507">
        <v>0</v>
      </c>
      <c r="BO507">
        <v>0</v>
      </c>
      <c r="BP507">
        <v>0</v>
      </c>
      <c r="BW507" t="str">
        <f>"13:54:42.639"</f>
        <v>13:54:42.639</v>
      </c>
      <c r="CJ507">
        <v>0</v>
      </c>
      <c r="CK507">
        <v>2</v>
      </c>
      <c r="CL507">
        <v>0</v>
      </c>
      <c r="CM507">
        <v>2</v>
      </c>
      <c r="CN507">
        <v>0</v>
      </c>
      <c r="CO507">
        <v>6</v>
      </c>
      <c r="CP507" t="s">
        <v>119</v>
      </c>
      <c r="CQ507">
        <v>209</v>
      </c>
      <c r="CR507">
        <v>3</v>
      </c>
      <c r="CW507">
        <v>7188502</v>
      </c>
      <c r="CY507">
        <v>1</v>
      </c>
      <c r="CZ507">
        <v>0</v>
      </c>
      <c r="DA507">
        <v>0</v>
      </c>
      <c r="DB507">
        <v>0</v>
      </c>
      <c r="DC507">
        <v>0</v>
      </c>
      <c r="DD507">
        <v>1</v>
      </c>
      <c r="DE507">
        <v>0</v>
      </c>
      <c r="DF507">
        <v>0</v>
      </c>
      <c r="DG507">
        <v>0</v>
      </c>
      <c r="DH507">
        <v>0</v>
      </c>
      <c r="DI507">
        <v>0</v>
      </c>
    </row>
    <row r="508" spans="1:113" x14ac:dyDescent="0.3">
      <c r="A508" t="str">
        <f>"09/28/2021 13:54:42.916"</f>
        <v>09/28/2021 13:54:42.916</v>
      </c>
      <c r="C508" t="str">
        <f t="shared" si="26"/>
        <v>FFDFD3C0</v>
      </c>
      <c r="D508" t="s">
        <v>113</v>
      </c>
      <c r="E508">
        <v>7</v>
      </c>
      <c r="H508">
        <v>170</v>
      </c>
      <c r="I508" t="s">
        <v>114</v>
      </c>
      <c r="J508" t="s">
        <v>115</v>
      </c>
      <c r="K508">
        <v>0</v>
      </c>
      <c r="L508">
        <v>3</v>
      </c>
      <c r="M508">
        <v>0</v>
      </c>
      <c r="N508">
        <v>2</v>
      </c>
      <c r="O508">
        <v>1</v>
      </c>
      <c r="P508">
        <v>0</v>
      </c>
      <c r="Q508">
        <v>0</v>
      </c>
      <c r="S508" t="str">
        <f>"13:54:42.633"</f>
        <v>13:54:42.633</v>
      </c>
      <c r="T508" t="str">
        <f>"13:54:42.233"</f>
        <v>13:54:42.233</v>
      </c>
      <c r="U508" t="str">
        <f t="shared" si="25"/>
        <v>A92BC1</v>
      </c>
      <c r="V508">
        <v>0</v>
      </c>
      <c r="W508">
        <v>0</v>
      </c>
      <c r="X508">
        <v>2</v>
      </c>
      <c r="Z508">
        <v>0</v>
      </c>
      <c r="AA508">
        <v>9</v>
      </c>
      <c r="AB508">
        <v>3</v>
      </c>
      <c r="AC508">
        <v>0</v>
      </c>
      <c r="AD508">
        <v>10</v>
      </c>
      <c r="AE508">
        <v>0</v>
      </c>
      <c r="AF508">
        <v>3</v>
      </c>
      <c r="AG508">
        <v>2</v>
      </c>
      <c r="AH508">
        <v>0</v>
      </c>
      <c r="AI508" t="s">
        <v>608</v>
      </c>
      <c r="AJ508">
        <v>45.749388000000003</v>
      </c>
      <c r="AK508" t="s">
        <v>609</v>
      </c>
      <c r="AL508">
        <v>-89.349402999999995</v>
      </c>
      <c r="AM508">
        <v>100</v>
      </c>
      <c r="AN508">
        <v>10000</v>
      </c>
      <c r="AO508" t="s">
        <v>118</v>
      </c>
      <c r="AP508">
        <v>121</v>
      </c>
      <c r="AQ508">
        <v>113</v>
      </c>
      <c r="AR508">
        <v>2048</v>
      </c>
      <c r="AZ508">
        <v>1200</v>
      </c>
      <c r="BA508">
        <v>1</v>
      </c>
      <c r="BB508" t="str">
        <f t="shared" si="27"/>
        <v xml:space="preserve">N690LS  </v>
      </c>
      <c r="BC508">
        <v>1</v>
      </c>
      <c r="BE508">
        <v>0</v>
      </c>
      <c r="BF508">
        <v>0</v>
      </c>
      <c r="BG508">
        <v>0</v>
      </c>
      <c r="BH508">
        <v>10375</v>
      </c>
      <c r="BI508">
        <v>1</v>
      </c>
      <c r="BJ508">
        <v>1</v>
      </c>
      <c r="BK508">
        <v>1</v>
      </c>
      <c r="BL508">
        <v>0</v>
      </c>
      <c r="BO508">
        <v>0</v>
      </c>
      <c r="BP508">
        <v>0</v>
      </c>
      <c r="BW508" t="str">
        <f>"13:54:42.639"</f>
        <v>13:54:42.639</v>
      </c>
      <c r="CJ508">
        <v>0</v>
      </c>
      <c r="CK508">
        <v>2</v>
      </c>
      <c r="CL508">
        <v>0</v>
      </c>
      <c r="CM508">
        <v>2</v>
      </c>
      <c r="CN508">
        <v>0</v>
      </c>
      <c r="CO508">
        <v>6</v>
      </c>
      <c r="CP508" t="s">
        <v>119</v>
      </c>
      <c r="CQ508">
        <v>209</v>
      </c>
      <c r="CR508">
        <v>3</v>
      </c>
      <c r="CW508">
        <v>7188502</v>
      </c>
      <c r="CY508">
        <v>1</v>
      </c>
      <c r="CZ508">
        <v>0</v>
      </c>
      <c r="DA508">
        <v>1</v>
      </c>
      <c r="DB508">
        <v>0</v>
      </c>
      <c r="DC508">
        <v>0</v>
      </c>
      <c r="DD508">
        <v>1</v>
      </c>
      <c r="DE508">
        <v>0</v>
      </c>
      <c r="DF508">
        <v>0</v>
      </c>
      <c r="DG508">
        <v>0</v>
      </c>
      <c r="DH508">
        <v>0</v>
      </c>
      <c r="DI508">
        <v>0</v>
      </c>
    </row>
    <row r="509" spans="1:113" x14ac:dyDescent="0.3">
      <c r="A509" t="str">
        <f>"09/28/2021 13:54:43.808"</f>
        <v>09/28/2021 13:54:43.808</v>
      </c>
      <c r="C509" t="str">
        <f t="shared" si="26"/>
        <v>FFDFD3C0</v>
      </c>
      <c r="D509" t="s">
        <v>113</v>
      </c>
      <c r="E509">
        <v>7</v>
      </c>
      <c r="H509">
        <v>170</v>
      </c>
      <c r="I509" t="s">
        <v>114</v>
      </c>
      <c r="J509" t="s">
        <v>115</v>
      </c>
      <c r="K509">
        <v>0</v>
      </c>
      <c r="L509">
        <v>3</v>
      </c>
      <c r="M509">
        <v>0</v>
      </c>
      <c r="N509">
        <v>2</v>
      </c>
      <c r="O509">
        <v>1</v>
      </c>
      <c r="P509">
        <v>0</v>
      </c>
      <c r="Q509">
        <v>0</v>
      </c>
      <c r="S509" t="str">
        <f>"13:54:43.617"</f>
        <v>13:54:43.617</v>
      </c>
      <c r="T509" t="str">
        <f>"13:54:43.217"</f>
        <v>13:54:43.217</v>
      </c>
      <c r="U509" t="str">
        <f t="shared" si="25"/>
        <v>A92BC1</v>
      </c>
      <c r="V509">
        <v>0</v>
      </c>
      <c r="W509">
        <v>0</v>
      </c>
      <c r="X509">
        <v>2</v>
      </c>
      <c r="Z509">
        <v>0</v>
      </c>
      <c r="AA509">
        <v>9</v>
      </c>
      <c r="AB509">
        <v>3</v>
      </c>
      <c r="AC509">
        <v>0</v>
      </c>
      <c r="AD509">
        <v>10</v>
      </c>
      <c r="AE509">
        <v>0</v>
      </c>
      <c r="AF509">
        <v>3</v>
      </c>
      <c r="AG509">
        <v>2</v>
      </c>
      <c r="AH509">
        <v>0</v>
      </c>
      <c r="AI509" t="s">
        <v>610</v>
      </c>
      <c r="AJ509">
        <v>45.749966999999998</v>
      </c>
      <c r="AK509" t="s">
        <v>611</v>
      </c>
      <c r="AL509">
        <v>-89.348588000000007</v>
      </c>
      <c r="AM509">
        <v>100</v>
      </c>
      <c r="AN509">
        <v>10100</v>
      </c>
      <c r="AO509" t="s">
        <v>118</v>
      </c>
      <c r="AP509">
        <v>121</v>
      </c>
      <c r="AQ509">
        <v>112</v>
      </c>
      <c r="AR509">
        <v>2048</v>
      </c>
      <c r="AZ509">
        <v>1200</v>
      </c>
      <c r="BA509">
        <v>1</v>
      </c>
      <c r="BB509" t="str">
        <f t="shared" si="27"/>
        <v xml:space="preserve">N690LS  </v>
      </c>
      <c r="BC509">
        <v>1</v>
      </c>
      <c r="BE509">
        <v>0</v>
      </c>
      <c r="BF509">
        <v>0</v>
      </c>
      <c r="BG509">
        <v>0</v>
      </c>
      <c r="BH509">
        <v>10400</v>
      </c>
      <c r="BI509">
        <v>1</v>
      </c>
      <c r="BJ509">
        <v>1</v>
      </c>
      <c r="BK509">
        <v>1</v>
      </c>
      <c r="BL509">
        <v>0</v>
      </c>
      <c r="BO509">
        <v>0</v>
      </c>
      <c r="BP509">
        <v>0</v>
      </c>
      <c r="BW509" t="str">
        <f>"13:54:43.623"</f>
        <v>13:54:43.623</v>
      </c>
      <c r="CJ509">
        <v>0</v>
      </c>
      <c r="CK509">
        <v>2</v>
      </c>
      <c r="CL509">
        <v>0</v>
      </c>
      <c r="CM509">
        <v>2</v>
      </c>
      <c r="CN509">
        <v>0</v>
      </c>
      <c r="CO509">
        <v>6</v>
      </c>
      <c r="CP509" t="s">
        <v>119</v>
      </c>
      <c r="CQ509">
        <v>209</v>
      </c>
      <c r="CR509">
        <v>3</v>
      </c>
      <c r="CW509">
        <v>7188817</v>
      </c>
      <c r="CY509">
        <v>1</v>
      </c>
      <c r="CZ509">
        <v>0</v>
      </c>
      <c r="DA509">
        <v>0</v>
      </c>
      <c r="DB509">
        <v>0</v>
      </c>
      <c r="DC509">
        <v>0</v>
      </c>
      <c r="DD509">
        <v>1</v>
      </c>
      <c r="DE509">
        <v>0</v>
      </c>
      <c r="DF509">
        <v>0</v>
      </c>
      <c r="DG509">
        <v>0</v>
      </c>
      <c r="DH509">
        <v>0</v>
      </c>
      <c r="DI509">
        <v>0</v>
      </c>
    </row>
    <row r="510" spans="1:113" x14ac:dyDescent="0.3">
      <c r="A510" t="str">
        <f>"09/28/2021 13:54:43.824"</f>
        <v>09/28/2021 13:54:43.824</v>
      </c>
      <c r="C510" t="str">
        <f t="shared" si="26"/>
        <v>FFDFD3C0</v>
      </c>
      <c r="D510" t="s">
        <v>120</v>
      </c>
      <c r="E510">
        <v>12</v>
      </c>
      <c r="F510">
        <v>1012</v>
      </c>
      <c r="G510" t="s">
        <v>114</v>
      </c>
      <c r="J510" t="s">
        <v>121</v>
      </c>
      <c r="K510">
        <v>0</v>
      </c>
      <c r="L510">
        <v>3</v>
      </c>
      <c r="M510">
        <v>0</v>
      </c>
      <c r="N510">
        <v>2</v>
      </c>
      <c r="O510">
        <v>1</v>
      </c>
      <c r="P510">
        <v>0</v>
      </c>
      <c r="Q510">
        <v>0</v>
      </c>
      <c r="S510" t="str">
        <f>"13:54:43.617"</f>
        <v>13:54:43.617</v>
      </c>
      <c r="T510" t="str">
        <f>"13:54:43.217"</f>
        <v>13:54:43.217</v>
      </c>
      <c r="U510" t="str">
        <f t="shared" si="25"/>
        <v>A92BC1</v>
      </c>
      <c r="V510">
        <v>0</v>
      </c>
      <c r="W510">
        <v>0</v>
      </c>
      <c r="X510">
        <v>2</v>
      </c>
      <c r="Z510">
        <v>0</v>
      </c>
      <c r="AA510">
        <v>9</v>
      </c>
      <c r="AB510">
        <v>3</v>
      </c>
      <c r="AC510">
        <v>0</v>
      </c>
      <c r="AD510">
        <v>10</v>
      </c>
      <c r="AE510">
        <v>0</v>
      </c>
      <c r="AF510">
        <v>3</v>
      </c>
      <c r="AG510">
        <v>2</v>
      </c>
      <c r="AH510">
        <v>0</v>
      </c>
      <c r="AI510" t="s">
        <v>610</v>
      </c>
      <c r="AJ510">
        <v>45.749966999999998</v>
      </c>
      <c r="AK510" t="s">
        <v>611</v>
      </c>
      <c r="AL510">
        <v>-89.348588000000007</v>
      </c>
      <c r="AM510">
        <v>100</v>
      </c>
      <c r="AN510">
        <v>10100</v>
      </c>
      <c r="AO510" t="s">
        <v>118</v>
      </c>
      <c r="AP510">
        <v>121</v>
      </c>
      <c r="AQ510">
        <v>112</v>
      </c>
      <c r="AR510">
        <v>2048</v>
      </c>
      <c r="AZ510">
        <v>1200</v>
      </c>
      <c r="BA510">
        <v>1</v>
      </c>
      <c r="BB510" t="str">
        <f t="shared" si="27"/>
        <v xml:space="preserve">N690LS  </v>
      </c>
      <c r="BC510">
        <v>1</v>
      </c>
      <c r="BE510">
        <v>0</v>
      </c>
      <c r="BF510">
        <v>0</v>
      </c>
      <c r="BG510">
        <v>0</v>
      </c>
      <c r="BH510">
        <v>10400</v>
      </c>
      <c r="BI510">
        <v>1</v>
      </c>
      <c r="BJ510">
        <v>1</v>
      </c>
      <c r="BK510">
        <v>1</v>
      </c>
      <c r="BL510">
        <v>0</v>
      </c>
      <c r="BO510">
        <v>0</v>
      </c>
      <c r="BP510">
        <v>0</v>
      </c>
      <c r="BW510" t="str">
        <f>"13:54:43.623"</f>
        <v>13:54:43.623</v>
      </c>
      <c r="CJ510">
        <v>0</v>
      </c>
      <c r="CK510">
        <v>2</v>
      </c>
      <c r="CL510">
        <v>0</v>
      </c>
      <c r="CM510">
        <v>2</v>
      </c>
      <c r="CN510">
        <v>0</v>
      </c>
      <c r="CO510">
        <v>6</v>
      </c>
      <c r="CP510" t="s">
        <v>119</v>
      </c>
      <c r="CQ510">
        <v>209</v>
      </c>
      <c r="CR510">
        <v>3</v>
      </c>
      <c r="CW510">
        <v>7188817</v>
      </c>
      <c r="CY510">
        <v>1</v>
      </c>
      <c r="CZ510">
        <v>0</v>
      </c>
      <c r="DA510">
        <v>1</v>
      </c>
      <c r="DB510">
        <v>0</v>
      </c>
      <c r="DC510">
        <v>0</v>
      </c>
      <c r="DD510">
        <v>1</v>
      </c>
      <c r="DE510">
        <v>0</v>
      </c>
      <c r="DF510">
        <v>0</v>
      </c>
      <c r="DG510">
        <v>0</v>
      </c>
      <c r="DH510">
        <v>0</v>
      </c>
      <c r="DI510">
        <v>0</v>
      </c>
    </row>
    <row r="511" spans="1:113" x14ac:dyDescent="0.3">
      <c r="A511" t="str">
        <f>"09/28/2021 13:54:44.824"</f>
        <v>09/28/2021 13:54:44.824</v>
      </c>
      <c r="C511" t="str">
        <f t="shared" si="26"/>
        <v>FFDFD3C0</v>
      </c>
      <c r="D511" t="s">
        <v>113</v>
      </c>
      <c r="E511">
        <v>7</v>
      </c>
      <c r="H511">
        <v>170</v>
      </c>
      <c r="I511" t="s">
        <v>114</v>
      </c>
      <c r="J511" t="s">
        <v>115</v>
      </c>
      <c r="K511">
        <v>0</v>
      </c>
      <c r="L511">
        <v>3</v>
      </c>
      <c r="M511">
        <v>0</v>
      </c>
      <c r="N511">
        <v>2</v>
      </c>
      <c r="O511">
        <v>1</v>
      </c>
      <c r="P511">
        <v>0</v>
      </c>
      <c r="Q511">
        <v>0</v>
      </c>
      <c r="S511" t="str">
        <f>"13:54:44.609"</f>
        <v>13:54:44.609</v>
      </c>
      <c r="T511" t="str">
        <f>"13:54:44.109"</f>
        <v>13:54:44.109</v>
      </c>
      <c r="U511" t="str">
        <f t="shared" si="25"/>
        <v>A92BC1</v>
      </c>
      <c r="V511">
        <v>0</v>
      </c>
      <c r="W511">
        <v>0</v>
      </c>
      <c r="X511">
        <v>2</v>
      </c>
      <c r="Z511">
        <v>0</v>
      </c>
      <c r="AA511">
        <v>9</v>
      </c>
      <c r="AB511">
        <v>3</v>
      </c>
      <c r="AC511">
        <v>0</v>
      </c>
      <c r="AD511">
        <v>10</v>
      </c>
      <c r="AE511">
        <v>0</v>
      </c>
      <c r="AF511">
        <v>3</v>
      </c>
      <c r="AG511">
        <v>2</v>
      </c>
      <c r="AH511">
        <v>0</v>
      </c>
      <c r="AI511" t="s">
        <v>612</v>
      </c>
      <c r="AJ511">
        <v>45.750418000000003</v>
      </c>
      <c r="AK511" t="s">
        <v>613</v>
      </c>
      <c r="AL511">
        <v>-89.347858000000002</v>
      </c>
      <c r="AM511">
        <v>100</v>
      </c>
      <c r="AN511">
        <v>10100</v>
      </c>
      <c r="AO511" t="s">
        <v>118</v>
      </c>
      <c r="AP511">
        <v>121</v>
      </c>
      <c r="AQ511">
        <v>112</v>
      </c>
      <c r="AR511">
        <v>2048</v>
      </c>
      <c r="AZ511">
        <v>1200</v>
      </c>
      <c r="BA511">
        <v>1</v>
      </c>
      <c r="BB511" t="str">
        <f t="shared" si="27"/>
        <v xml:space="preserve">N690LS  </v>
      </c>
      <c r="BC511">
        <v>1</v>
      </c>
      <c r="BE511">
        <v>0</v>
      </c>
      <c r="BF511">
        <v>0</v>
      </c>
      <c r="BG511">
        <v>0</v>
      </c>
      <c r="BH511">
        <v>10425</v>
      </c>
      <c r="BI511">
        <v>1</v>
      </c>
      <c r="BJ511">
        <v>1</v>
      </c>
      <c r="BK511">
        <v>1</v>
      </c>
      <c r="BL511">
        <v>0</v>
      </c>
      <c r="BO511">
        <v>0</v>
      </c>
      <c r="BP511">
        <v>0</v>
      </c>
      <c r="BW511" t="str">
        <f>"13:54:44.616"</f>
        <v>13:54:44.616</v>
      </c>
      <c r="CJ511">
        <v>0</v>
      </c>
      <c r="CK511">
        <v>2</v>
      </c>
      <c r="CL511">
        <v>0</v>
      </c>
      <c r="CM511">
        <v>2</v>
      </c>
      <c r="CN511">
        <v>0</v>
      </c>
      <c r="CO511">
        <v>6</v>
      </c>
      <c r="CP511" t="s">
        <v>119</v>
      </c>
      <c r="CQ511">
        <v>209</v>
      </c>
      <c r="CR511">
        <v>3</v>
      </c>
      <c r="CW511">
        <v>7189135</v>
      </c>
      <c r="CY511">
        <v>1</v>
      </c>
      <c r="CZ511">
        <v>0</v>
      </c>
      <c r="DA511">
        <v>0</v>
      </c>
      <c r="DB511">
        <v>0</v>
      </c>
      <c r="DC511">
        <v>0</v>
      </c>
      <c r="DD511">
        <v>1</v>
      </c>
      <c r="DE511">
        <v>0</v>
      </c>
      <c r="DF511">
        <v>0</v>
      </c>
      <c r="DG511">
        <v>0</v>
      </c>
      <c r="DH511">
        <v>0</v>
      </c>
      <c r="DI511">
        <v>0</v>
      </c>
    </row>
    <row r="512" spans="1:113" x14ac:dyDescent="0.3">
      <c r="A512" t="str">
        <f>"09/28/2021 13:54:44.855"</f>
        <v>09/28/2021 13:54:44.855</v>
      </c>
      <c r="C512" t="str">
        <f t="shared" si="26"/>
        <v>FFDFD3C0</v>
      </c>
      <c r="D512" t="s">
        <v>120</v>
      </c>
      <c r="E512">
        <v>12</v>
      </c>
      <c r="F512">
        <v>1012</v>
      </c>
      <c r="G512" t="s">
        <v>114</v>
      </c>
      <c r="J512" t="s">
        <v>121</v>
      </c>
      <c r="K512">
        <v>0</v>
      </c>
      <c r="L512">
        <v>3</v>
      </c>
      <c r="M512">
        <v>0</v>
      </c>
      <c r="N512">
        <v>2</v>
      </c>
      <c r="O512">
        <v>1</v>
      </c>
      <c r="P512">
        <v>0</v>
      </c>
      <c r="Q512">
        <v>0</v>
      </c>
      <c r="S512" t="str">
        <f>"13:54:44.609"</f>
        <v>13:54:44.609</v>
      </c>
      <c r="T512" t="str">
        <f>"13:54:44.109"</f>
        <v>13:54:44.109</v>
      </c>
      <c r="U512" t="str">
        <f t="shared" si="25"/>
        <v>A92BC1</v>
      </c>
      <c r="V512">
        <v>0</v>
      </c>
      <c r="W512">
        <v>0</v>
      </c>
      <c r="X512">
        <v>2</v>
      </c>
      <c r="Z512">
        <v>0</v>
      </c>
      <c r="AA512">
        <v>9</v>
      </c>
      <c r="AB512">
        <v>3</v>
      </c>
      <c r="AC512">
        <v>0</v>
      </c>
      <c r="AD512">
        <v>10</v>
      </c>
      <c r="AE512">
        <v>0</v>
      </c>
      <c r="AF512">
        <v>3</v>
      </c>
      <c r="AG512">
        <v>2</v>
      </c>
      <c r="AH512">
        <v>0</v>
      </c>
      <c r="AI512" t="s">
        <v>612</v>
      </c>
      <c r="AJ512">
        <v>45.750418000000003</v>
      </c>
      <c r="AK512" t="s">
        <v>613</v>
      </c>
      <c r="AL512">
        <v>-89.347858000000002</v>
      </c>
      <c r="AM512">
        <v>100</v>
      </c>
      <c r="AN512">
        <v>10100</v>
      </c>
      <c r="AO512" t="s">
        <v>118</v>
      </c>
      <c r="AP512">
        <v>121</v>
      </c>
      <c r="AQ512">
        <v>112</v>
      </c>
      <c r="AR512">
        <v>2048</v>
      </c>
      <c r="AZ512">
        <v>1200</v>
      </c>
      <c r="BA512">
        <v>1</v>
      </c>
      <c r="BB512" t="str">
        <f t="shared" si="27"/>
        <v xml:space="preserve">N690LS  </v>
      </c>
      <c r="BC512">
        <v>1</v>
      </c>
      <c r="BE512">
        <v>0</v>
      </c>
      <c r="BF512">
        <v>0</v>
      </c>
      <c r="BG512">
        <v>0</v>
      </c>
      <c r="BH512">
        <v>10425</v>
      </c>
      <c r="BI512">
        <v>1</v>
      </c>
      <c r="BJ512">
        <v>1</v>
      </c>
      <c r="BK512">
        <v>1</v>
      </c>
      <c r="BL512">
        <v>0</v>
      </c>
      <c r="BO512">
        <v>0</v>
      </c>
      <c r="BP512">
        <v>0</v>
      </c>
      <c r="BW512" t="str">
        <f>"13:54:44.616"</f>
        <v>13:54:44.616</v>
      </c>
      <c r="CJ512">
        <v>0</v>
      </c>
      <c r="CK512">
        <v>2</v>
      </c>
      <c r="CL512">
        <v>0</v>
      </c>
      <c r="CM512">
        <v>2</v>
      </c>
      <c r="CN512">
        <v>0</v>
      </c>
      <c r="CO512">
        <v>6</v>
      </c>
      <c r="CP512" t="s">
        <v>119</v>
      </c>
      <c r="CQ512">
        <v>209</v>
      </c>
      <c r="CR512">
        <v>3</v>
      </c>
      <c r="CW512">
        <v>7189135</v>
      </c>
      <c r="CY512">
        <v>1</v>
      </c>
      <c r="CZ512">
        <v>0</v>
      </c>
      <c r="DA512">
        <v>1</v>
      </c>
      <c r="DB512">
        <v>0</v>
      </c>
      <c r="DC512">
        <v>0</v>
      </c>
      <c r="DD512">
        <v>1</v>
      </c>
      <c r="DE512">
        <v>0</v>
      </c>
      <c r="DF512">
        <v>0</v>
      </c>
      <c r="DG512">
        <v>0</v>
      </c>
      <c r="DH512">
        <v>0</v>
      </c>
      <c r="DI512">
        <v>0</v>
      </c>
    </row>
    <row r="513" spans="1:113" x14ac:dyDescent="0.3">
      <c r="A513" t="str">
        <f>"09/28/2021 13:54:45.871"</f>
        <v>09/28/2021 13:54:45.871</v>
      </c>
      <c r="C513" t="str">
        <f t="shared" si="26"/>
        <v>FFDFD3C0</v>
      </c>
      <c r="D513" t="s">
        <v>113</v>
      </c>
      <c r="E513">
        <v>7</v>
      </c>
      <c r="H513">
        <v>170</v>
      </c>
      <c r="I513" t="s">
        <v>114</v>
      </c>
      <c r="J513" t="s">
        <v>115</v>
      </c>
      <c r="K513">
        <v>0</v>
      </c>
      <c r="L513">
        <v>3</v>
      </c>
      <c r="M513">
        <v>0</v>
      </c>
      <c r="N513">
        <v>2</v>
      </c>
      <c r="O513">
        <v>1</v>
      </c>
      <c r="P513">
        <v>0</v>
      </c>
      <c r="Q513">
        <v>0</v>
      </c>
      <c r="S513" t="str">
        <f>"13:54:45.609"</f>
        <v>13:54:45.609</v>
      </c>
      <c r="T513" t="str">
        <f>"13:54:45.209"</f>
        <v>13:54:45.209</v>
      </c>
      <c r="U513" t="str">
        <f t="shared" si="25"/>
        <v>A92BC1</v>
      </c>
      <c r="V513">
        <v>0</v>
      </c>
      <c r="W513">
        <v>0</v>
      </c>
      <c r="X513">
        <v>2</v>
      </c>
      <c r="Z513">
        <v>0</v>
      </c>
      <c r="AA513">
        <v>9</v>
      </c>
      <c r="AB513">
        <v>3</v>
      </c>
      <c r="AC513">
        <v>0</v>
      </c>
      <c r="AD513">
        <v>10</v>
      </c>
      <c r="AE513">
        <v>0</v>
      </c>
      <c r="AF513">
        <v>3</v>
      </c>
      <c r="AG513">
        <v>2</v>
      </c>
      <c r="AH513">
        <v>0</v>
      </c>
      <c r="AI513" t="s">
        <v>614</v>
      </c>
      <c r="AJ513">
        <v>45.750911000000002</v>
      </c>
      <c r="AK513" t="s">
        <v>615</v>
      </c>
      <c r="AL513">
        <v>-89.347042999999999</v>
      </c>
      <c r="AM513">
        <v>100</v>
      </c>
      <c r="AN513">
        <v>10100</v>
      </c>
      <c r="AO513" t="s">
        <v>118</v>
      </c>
      <c r="AP513">
        <v>121</v>
      </c>
      <c r="AQ513">
        <v>112</v>
      </c>
      <c r="AR513">
        <v>2048</v>
      </c>
      <c r="AZ513">
        <v>1200</v>
      </c>
      <c r="BA513">
        <v>1</v>
      </c>
      <c r="BB513" t="str">
        <f t="shared" si="27"/>
        <v xml:space="preserve">N690LS  </v>
      </c>
      <c r="BC513">
        <v>1</v>
      </c>
      <c r="BE513">
        <v>0</v>
      </c>
      <c r="BF513">
        <v>0</v>
      </c>
      <c r="BG513">
        <v>0</v>
      </c>
      <c r="BH513">
        <v>10475</v>
      </c>
      <c r="BI513">
        <v>1</v>
      </c>
      <c r="BJ513">
        <v>1</v>
      </c>
      <c r="BK513">
        <v>1</v>
      </c>
      <c r="BL513">
        <v>0</v>
      </c>
      <c r="BO513">
        <v>0</v>
      </c>
      <c r="BP513">
        <v>0</v>
      </c>
      <c r="BW513" t="str">
        <f>"13:54:45.611"</f>
        <v>13:54:45.611</v>
      </c>
      <c r="CJ513">
        <v>0</v>
      </c>
      <c r="CK513">
        <v>2</v>
      </c>
      <c r="CL513">
        <v>0</v>
      </c>
      <c r="CM513">
        <v>2</v>
      </c>
      <c r="CN513">
        <v>0</v>
      </c>
      <c r="CO513">
        <v>6</v>
      </c>
      <c r="CP513" t="s">
        <v>119</v>
      </c>
      <c r="CQ513">
        <v>209</v>
      </c>
      <c r="CR513">
        <v>3</v>
      </c>
      <c r="CW513">
        <v>7189444</v>
      </c>
      <c r="CY513">
        <v>1</v>
      </c>
      <c r="CZ513">
        <v>0</v>
      </c>
      <c r="DA513">
        <v>0</v>
      </c>
      <c r="DB513">
        <v>0</v>
      </c>
      <c r="DC513">
        <v>0</v>
      </c>
      <c r="DD513">
        <v>1</v>
      </c>
      <c r="DE513">
        <v>0</v>
      </c>
      <c r="DF513">
        <v>0</v>
      </c>
      <c r="DG513">
        <v>0</v>
      </c>
      <c r="DH513">
        <v>0</v>
      </c>
      <c r="DI513">
        <v>0</v>
      </c>
    </row>
    <row r="514" spans="1:113" x14ac:dyDescent="0.3">
      <c r="A514" t="str">
        <f>"09/28/2021 13:54:45.871"</f>
        <v>09/28/2021 13:54:45.871</v>
      </c>
      <c r="C514" t="str">
        <f t="shared" si="26"/>
        <v>FFDFD3C0</v>
      </c>
      <c r="D514" t="s">
        <v>120</v>
      </c>
      <c r="E514">
        <v>12</v>
      </c>
      <c r="F514">
        <v>1012</v>
      </c>
      <c r="G514" t="s">
        <v>114</v>
      </c>
      <c r="J514" t="s">
        <v>121</v>
      </c>
      <c r="K514">
        <v>0</v>
      </c>
      <c r="L514">
        <v>3</v>
      </c>
      <c r="M514">
        <v>0</v>
      </c>
      <c r="N514">
        <v>2</v>
      </c>
      <c r="O514">
        <v>1</v>
      </c>
      <c r="P514">
        <v>0</v>
      </c>
      <c r="Q514">
        <v>0</v>
      </c>
      <c r="S514" t="str">
        <f>"13:54:45.609"</f>
        <v>13:54:45.609</v>
      </c>
      <c r="T514" t="str">
        <f>"13:54:45.209"</f>
        <v>13:54:45.209</v>
      </c>
      <c r="U514" t="str">
        <f t="shared" ref="U514:U577" si="28">"A92BC1"</f>
        <v>A92BC1</v>
      </c>
      <c r="V514">
        <v>0</v>
      </c>
      <c r="W514">
        <v>0</v>
      </c>
      <c r="X514">
        <v>2</v>
      </c>
      <c r="Z514">
        <v>0</v>
      </c>
      <c r="AA514">
        <v>9</v>
      </c>
      <c r="AB514">
        <v>3</v>
      </c>
      <c r="AC514">
        <v>0</v>
      </c>
      <c r="AD514">
        <v>10</v>
      </c>
      <c r="AE514">
        <v>0</v>
      </c>
      <c r="AF514">
        <v>3</v>
      </c>
      <c r="AG514">
        <v>2</v>
      </c>
      <c r="AH514">
        <v>0</v>
      </c>
      <c r="AI514" t="s">
        <v>614</v>
      </c>
      <c r="AJ514">
        <v>45.750911000000002</v>
      </c>
      <c r="AK514" t="s">
        <v>615</v>
      </c>
      <c r="AL514">
        <v>-89.347042999999999</v>
      </c>
      <c r="AM514">
        <v>100</v>
      </c>
      <c r="AN514">
        <v>10100</v>
      </c>
      <c r="AO514" t="s">
        <v>118</v>
      </c>
      <c r="AP514">
        <v>121</v>
      </c>
      <c r="AQ514">
        <v>112</v>
      </c>
      <c r="AR514">
        <v>2048</v>
      </c>
      <c r="AZ514">
        <v>1200</v>
      </c>
      <c r="BA514">
        <v>1</v>
      </c>
      <c r="BB514" t="str">
        <f t="shared" si="27"/>
        <v xml:space="preserve">N690LS  </v>
      </c>
      <c r="BC514">
        <v>1</v>
      </c>
      <c r="BE514">
        <v>0</v>
      </c>
      <c r="BF514">
        <v>0</v>
      </c>
      <c r="BG514">
        <v>0</v>
      </c>
      <c r="BH514">
        <v>10475</v>
      </c>
      <c r="BI514">
        <v>1</v>
      </c>
      <c r="BJ514">
        <v>1</v>
      </c>
      <c r="BK514">
        <v>1</v>
      </c>
      <c r="BL514">
        <v>0</v>
      </c>
      <c r="BO514">
        <v>0</v>
      </c>
      <c r="BP514">
        <v>0</v>
      </c>
      <c r="BW514" t="str">
        <f>"13:54:45.611"</f>
        <v>13:54:45.611</v>
      </c>
      <c r="CJ514">
        <v>0</v>
      </c>
      <c r="CK514">
        <v>2</v>
      </c>
      <c r="CL514">
        <v>0</v>
      </c>
      <c r="CM514">
        <v>2</v>
      </c>
      <c r="CN514">
        <v>0</v>
      </c>
      <c r="CO514">
        <v>6</v>
      </c>
      <c r="CP514" t="s">
        <v>119</v>
      </c>
      <c r="CQ514">
        <v>209</v>
      </c>
      <c r="CR514">
        <v>3</v>
      </c>
      <c r="CW514">
        <v>7189444</v>
      </c>
      <c r="CY514">
        <v>1</v>
      </c>
      <c r="CZ514">
        <v>0</v>
      </c>
      <c r="DA514">
        <v>1</v>
      </c>
      <c r="DB514">
        <v>0</v>
      </c>
      <c r="DC514">
        <v>0</v>
      </c>
      <c r="DD514">
        <v>1</v>
      </c>
      <c r="DE514">
        <v>0</v>
      </c>
      <c r="DF514">
        <v>0</v>
      </c>
      <c r="DG514">
        <v>0</v>
      </c>
      <c r="DH514">
        <v>0</v>
      </c>
      <c r="DI514">
        <v>0</v>
      </c>
    </row>
    <row r="515" spans="1:113" x14ac:dyDescent="0.3">
      <c r="A515" t="str">
        <f>"09/28/2021 13:54:46.884"</f>
        <v>09/28/2021 13:54:46.884</v>
      </c>
      <c r="C515" t="str">
        <f t="shared" si="26"/>
        <v>FFDFD3C0</v>
      </c>
      <c r="D515" t="s">
        <v>113</v>
      </c>
      <c r="E515">
        <v>7</v>
      </c>
      <c r="H515">
        <v>170</v>
      </c>
      <c r="I515" t="s">
        <v>114</v>
      </c>
      <c r="J515" t="s">
        <v>115</v>
      </c>
      <c r="K515">
        <v>0</v>
      </c>
      <c r="L515">
        <v>3</v>
      </c>
      <c r="M515">
        <v>0</v>
      </c>
      <c r="N515">
        <v>2</v>
      </c>
      <c r="O515">
        <v>1</v>
      </c>
      <c r="P515">
        <v>0</v>
      </c>
      <c r="Q515">
        <v>0</v>
      </c>
      <c r="S515" t="str">
        <f>"13:54:46.594"</f>
        <v>13:54:46.594</v>
      </c>
      <c r="T515" t="str">
        <f>"13:54:46.194"</f>
        <v>13:54:46.194</v>
      </c>
      <c r="U515" t="str">
        <f t="shared" si="28"/>
        <v>A92BC1</v>
      </c>
      <c r="V515">
        <v>0</v>
      </c>
      <c r="W515">
        <v>0</v>
      </c>
      <c r="X515">
        <v>2</v>
      </c>
      <c r="Z515">
        <v>0</v>
      </c>
      <c r="AA515">
        <v>9</v>
      </c>
      <c r="AB515">
        <v>3</v>
      </c>
      <c r="AC515">
        <v>0</v>
      </c>
      <c r="AD515">
        <v>10</v>
      </c>
      <c r="AE515">
        <v>0</v>
      </c>
      <c r="AF515">
        <v>3</v>
      </c>
      <c r="AG515">
        <v>2</v>
      </c>
      <c r="AH515">
        <v>0</v>
      </c>
      <c r="AI515" t="s">
        <v>616</v>
      </c>
      <c r="AJ515">
        <v>45.751426000000002</v>
      </c>
      <c r="AK515" t="s">
        <v>617</v>
      </c>
      <c r="AL515">
        <v>-89.346249</v>
      </c>
      <c r="AM515">
        <v>100</v>
      </c>
      <c r="AN515">
        <v>10200</v>
      </c>
      <c r="AO515" t="s">
        <v>118</v>
      </c>
      <c r="AP515">
        <v>121</v>
      </c>
      <c r="AQ515">
        <v>112</v>
      </c>
      <c r="AR515">
        <v>2048</v>
      </c>
      <c r="AZ515">
        <v>1200</v>
      </c>
      <c r="BA515">
        <v>1</v>
      </c>
      <c r="BB515" t="str">
        <f t="shared" si="27"/>
        <v xml:space="preserve">N690LS  </v>
      </c>
      <c r="BC515">
        <v>1</v>
      </c>
      <c r="BE515">
        <v>0</v>
      </c>
      <c r="BF515">
        <v>0</v>
      </c>
      <c r="BG515">
        <v>0</v>
      </c>
      <c r="BH515">
        <v>10500</v>
      </c>
      <c r="BI515">
        <v>1</v>
      </c>
      <c r="BJ515">
        <v>1</v>
      </c>
      <c r="BK515">
        <v>1</v>
      </c>
      <c r="BL515">
        <v>0</v>
      </c>
      <c r="BO515">
        <v>0</v>
      </c>
      <c r="BP515">
        <v>0</v>
      </c>
      <c r="BW515" t="str">
        <f>"13:54:46.599"</f>
        <v>13:54:46.599</v>
      </c>
      <c r="CJ515">
        <v>0</v>
      </c>
      <c r="CK515">
        <v>2</v>
      </c>
      <c r="CL515">
        <v>0</v>
      </c>
      <c r="CM515">
        <v>2</v>
      </c>
      <c r="CN515">
        <v>0</v>
      </c>
      <c r="CO515">
        <v>6</v>
      </c>
      <c r="CP515" t="s">
        <v>119</v>
      </c>
      <c r="CQ515">
        <v>210</v>
      </c>
      <c r="CR515">
        <v>2</v>
      </c>
      <c r="CW515">
        <v>2239498</v>
      </c>
      <c r="CY515">
        <v>1</v>
      </c>
      <c r="CZ515">
        <v>0</v>
      </c>
      <c r="DA515">
        <v>0</v>
      </c>
      <c r="DB515">
        <v>0</v>
      </c>
      <c r="DC515">
        <v>0</v>
      </c>
      <c r="DD515">
        <v>1</v>
      </c>
      <c r="DE515">
        <v>0</v>
      </c>
      <c r="DF515">
        <v>0</v>
      </c>
      <c r="DG515">
        <v>0</v>
      </c>
      <c r="DH515">
        <v>0</v>
      </c>
      <c r="DI515">
        <v>0</v>
      </c>
    </row>
    <row r="516" spans="1:113" x14ac:dyDescent="0.3">
      <c r="A516" t="str">
        <f>"09/28/2021 13:54:46.884"</f>
        <v>09/28/2021 13:54:46.884</v>
      </c>
      <c r="C516" t="str">
        <f t="shared" si="26"/>
        <v>FFDFD3C0</v>
      </c>
      <c r="D516" t="s">
        <v>120</v>
      </c>
      <c r="E516">
        <v>12</v>
      </c>
      <c r="F516">
        <v>1012</v>
      </c>
      <c r="G516" t="s">
        <v>114</v>
      </c>
      <c r="J516" t="s">
        <v>121</v>
      </c>
      <c r="K516">
        <v>0</v>
      </c>
      <c r="L516">
        <v>3</v>
      </c>
      <c r="M516">
        <v>0</v>
      </c>
      <c r="N516">
        <v>2</v>
      </c>
      <c r="O516">
        <v>1</v>
      </c>
      <c r="P516">
        <v>0</v>
      </c>
      <c r="Q516">
        <v>0</v>
      </c>
      <c r="S516" t="str">
        <f>"13:54:46.594"</f>
        <v>13:54:46.594</v>
      </c>
      <c r="T516" t="str">
        <f>"13:54:46.194"</f>
        <v>13:54:46.194</v>
      </c>
      <c r="U516" t="str">
        <f t="shared" si="28"/>
        <v>A92BC1</v>
      </c>
      <c r="V516">
        <v>0</v>
      </c>
      <c r="W516">
        <v>0</v>
      </c>
      <c r="X516">
        <v>2</v>
      </c>
      <c r="Z516">
        <v>0</v>
      </c>
      <c r="AA516">
        <v>9</v>
      </c>
      <c r="AB516">
        <v>3</v>
      </c>
      <c r="AC516">
        <v>0</v>
      </c>
      <c r="AD516">
        <v>10</v>
      </c>
      <c r="AE516">
        <v>0</v>
      </c>
      <c r="AF516">
        <v>3</v>
      </c>
      <c r="AG516">
        <v>2</v>
      </c>
      <c r="AH516">
        <v>0</v>
      </c>
      <c r="AI516" t="s">
        <v>616</v>
      </c>
      <c r="AJ516">
        <v>45.751426000000002</v>
      </c>
      <c r="AK516" t="s">
        <v>617</v>
      </c>
      <c r="AL516">
        <v>-89.346249</v>
      </c>
      <c r="AM516">
        <v>100</v>
      </c>
      <c r="AN516">
        <v>10200</v>
      </c>
      <c r="AO516" t="s">
        <v>118</v>
      </c>
      <c r="AP516">
        <v>121</v>
      </c>
      <c r="AQ516">
        <v>112</v>
      </c>
      <c r="AR516">
        <v>2048</v>
      </c>
      <c r="AZ516">
        <v>1200</v>
      </c>
      <c r="BA516">
        <v>1</v>
      </c>
      <c r="BB516" t="str">
        <f t="shared" si="27"/>
        <v xml:space="preserve">N690LS  </v>
      </c>
      <c r="BC516">
        <v>1</v>
      </c>
      <c r="BE516">
        <v>0</v>
      </c>
      <c r="BF516">
        <v>0</v>
      </c>
      <c r="BG516">
        <v>0</v>
      </c>
      <c r="BH516">
        <v>10500</v>
      </c>
      <c r="BI516">
        <v>1</v>
      </c>
      <c r="BJ516">
        <v>1</v>
      </c>
      <c r="BK516">
        <v>1</v>
      </c>
      <c r="BL516">
        <v>0</v>
      </c>
      <c r="BO516">
        <v>0</v>
      </c>
      <c r="BP516">
        <v>0</v>
      </c>
      <c r="BW516" t="str">
        <f>"13:54:46.599"</f>
        <v>13:54:46.599</v>
      </c>
      <c r="CJ516">
        <v>0</v>
      </c>
      <c r="CK516">
        <v>2</v>
      </c>
      <c r="CL516">
        <v>0</v>
      </c>
      <c r="CM516">
        <v>2</v>
      </c>
      <c r="CN516">
        <v>0</v>
      </c>
      <c r="CO516">
        <v>6</v>
      </c>
      <c r="CP516" t="s">
        <v>119</v>
      </c>
      <c r="CQ516">
        <v>210</v>
      </c>
      <c r="CR516">
        <v>2</v>
      </c>
      <c r="CW516">
        <v>2239498</v>
      </c>
      <c r="CY516">
        <v>1</v>
      </c>
      <c r="CZ516">
        <v>0</v>
      </c>
      <c r="DA516">
        <v>1</v>
      </c>
      <c r="DB516">
        <v>0</v>
      </c>
      <c r="DC516">
        <v>0</v>
      </c>
      <c r="DD516">
        <v>1</v>
      </c>
      <c r="DE516">
        <v>0</v>
      </c>
      <c r="DF516">
        <v>0</v>
      </c>
      <c r="DG516">
        <v>0</v>
      </c>
      <c r="DH516">
        <v>0</v>
      </c>
      <c r="DI516">
        <v>0</v>
      </c>
    </row>
    <row r="517" spans="1:113" x14ac:dyDescent="0.3">
      <c r="A517" t="str">
        <f>"09/28/2021 13:54:47.775"</f>
        <v>09/28/2021 13:54:47.775</v>
      </c>
      <c r="C517" t="str">
        <f t="shared" si="26"/>
        <v>FFDFD3C0</v>
      </c>
      <c r="D517" t="s">
        <v>113</v>
      </c>
      <c r="E517">
        <v>7</v>
      </c>
      <c r="H517">
        <v>170</v>
      </c>
      <c r="I517" t="s">
        <v>114</v>
      </c>
      <c r="J517" t="s">
        <v>115</v>
      </c>
      <c r="K517">
        <v>0</v>
      </c>
      <c r="L517">
        <v>3</v>
      </c>
      <c r="M517">
        <v>0</v>
      </c>
      <c r="N517">
        <v>2</v>
      </c>
      <c r="O517">
        <v>1</v>
      </c>
      <c r="P517">
        <v>0</v>
      </c>
      <c r="Q517">
        <v>0</v>
      </c>
      <c r="S517" t="str">
        <f>"13:54:47.563"</f>
        <v>13:54:47.563</v>
      </c>
      <c r="T517" t="str">
        <f>"13:54:47.063"</f>
        <v>13:54:47.063</v>
      </c>
      <c r="U517" t="str">
        <f t="shared" si="28"/>
        <v>A92BC1</v>
      </c>
      <c r="V517">
        <v>0</v>
      </c>
      <c r="W517">
        <v>0</v>
      </c>
      <c r="X517">
        <v>2</v>
      </c>
      <c r="Z517">
        <v>0</v>
      </c>
      <c r="AA517">
        <v>9</v>
      </c>
      <c r="AB517">
        <v>3</v>
      </c>
      <c r="AC517">
        <v>0</v>
      </c>
      <c r="AD517">
        <v>10</v>
      </c>
      <c r="AE517">
        <v>0</v>
      </c>
      <c r="AF517">
        <v>3</v>
      </c>
      <c r="AG517">
        <v>2</v>
      </c>
      <c r="AH517">
        <v>0</v>
      </c>
      <c r="AI517" t="s">
        <v>618</v>
      </c>
      <c r="AJ517">
        <v>45.751963000000003</v>
      </c>
      <c r="AK517" t="s">
        <v>619</v>
      </c>
      <c r="AL517">
        <v>-89.345433999999997</v>
      </c>
      <c r="AM517">
        <v>100</v>
      </c>
      <c r="AN517">
        <v>10200</v>
      </c>
      <c r="AO517" t="s">
        <v>118</v>
      </c>
      <c r="AP517">
        <v>121</v>
      </c>
      <c r="AQ517">
        <v>112</v>
      </c>
      <c r="AR517">
        <v>2048</v>
      </c>
      <c r="AZ517">
        <v>1200</v>
      </c>
      <c r="BA517">
        <v>1</v>
      </c>
      <c r="BB517" t="str">
        <f t="shared" si="27"/>
        <v xml:space="preserve">N690LS  </v>
      </c>
      <c r="BC517">
        <v>1</v>
      </c>
      <c r="BE517">
        <v>0</v>
      </c>
      <c r="BF517">
        <v>0</v>
      </c>
      <c r="BG517">
        <v>0</v>
      </c>
      <c r="BH517">
        <v>10525</v>
      </c>
      <c r="BI517">
        <v>1</v>
      </c>
      <c r="BJ517">
        <v>1</v>
      </c>
      <c r="BK517">
        <v>1</v>
      </c>
      <c r="BL517">
        <v>0</v>
      </c>
      <c r="BO517">
        <v>0</v>
      </c>
      <c r="BP517">
        <v>0</v>
      </c>
      <c r="BW517" t="str">
        <f>"13:54:47.567"</f>
        <v>13:54:47.567</v>
      </c>
      <c r="CJ517">
        <v>0</v>
      </c>
      <c r="CK517">
        <v>2</v>
      </c>
      <c r="CL517">
        <v>0</v>
      </c>
      <c r="CM517">
        <v>2</v>
      </c>
      <c r="CN517">
        <v>0</v>
      </c>
      <c r="CO517">
        <v>7</v>
      </c>
      <c r="CP517" t="s">
        <v>119</v>
      </c>
      <c r="CQ517">
        <v>197</v>
      </c>
      <c r="CR517">
        <v>2</v>
      </c>
      <c r="CW517">
        <v>2319822</v>
      </c>
      <c r="CY517">
        <v>1</v>
      </c>
      <c r="CZ517">
        <v>0</v>
      </c>
      <c r="DA517">
        <v>0</v>
      </c>
      <c r="DB517">
        <v>0</v>
      </c>
      <c r="DC517">
        <v>0</v>
      </c>
      <c r="DD517">
        <v>1</v>
      </c>
      <c r="DE517">
        <v>0</v>
      </c>
      <c r="DF517">
        <v>0</v>
      </c>
      <c r="DG517">
        <v>0</v>
      </c>
      <c r="DH517">
        <v>0</v>
      </c>
      <c r="DI517">
        <v>0</v>
      </c>
    </row>
    <row r="518" spans="1:113" x14ac:dyDescent="0.3">
      <c r="A518" t="str">
        <f>"09/28/2021 13:54:47.775"</f>
        <v>09/28/2021 13:54:47.775</v>
      </c>
      <c r="C518" t="str">
        <f t="shared" si="26"/>
        <v>FFDFD3C0</v>
      </c>
      <c r="D518" t="s">
        <v>120</v>
      </c>
      <c r="E518">
        <v>12</v>
      </c>
      <c r="F518">
        <v>1012</v>
      </c>
      <c r="G518" t="s">
        <v>114</v>
      </c>
      <c r="J518" t="s">
        <v>121</v>
      </c>
      <c r="K518">
        <v>0</v>
      </c>
      <c r="L518">
        <v>3</v>
      </c>
      <c r="M518">
        <v>0</v>
      </c>
      <c r="N518">
        <v>2</v>
      </c>
      <c r="O518">
        <v>1</v>
      </c>
      <c r="P518">
        <v>0</v>
      </c>
      <c r="Q518">
        <v>0</v>
      </c>
      <c r="S518" t="str">
        <f>"13:54:47.563"</f>
        <v>13:54:47.563</v>
      </c>
      <c r="T518" t="str">
        <f>"13:54:47.063"</f>
        <v>13:54:47.063</v>
      </c>
      <c r="U518" t="str">
        <f t="shared" si="28"/>
        <v>A92BC1</v>
      </c>
      <c r="V518">
        <v>0</v>
      </c>
      <c r="W518">
        <v>0</v>
      </c>
      <c r="X518">
        <v>2</v>
      </c>
      <c r="Z518">
        <v>0</v>
      </c>
      <c r="AA518">
        <v>9</v>
      </c>
      <c r="AB518">
        <v>3</v>
      </c>
      <c r="AC518">
        <v>0</v>
      </c>
      <c r="AD518">
        <v>10</v>
      </c>
      <c r="AE518">
        <v>0</v>
      </c>
      <c r="AF518">
        <v>3</v>
      </c>
      <c r="AG518">
        <v>2</v>
      </c>
      <c r="AH518">
        <v>0</v>
      </c>
      <c r="AI518" t="s">
        <v>618</v>
      </c>
      <c r="AJ518">
        <v>45.751963000000003</v>
      </c>
      <c r="AK518" t="s">
        <v>619</v>
      </c>
      <c r="AL518">
        <v>-89.345433999999997</v>
      </c>
      <c r="AM518">
        <v>100</v>
      </c>
      <c r="AN518">
        <v>10200</v>
      </c>
      <c r="AO518" t="s">
        <v>118</v>
      </c>
      <c r="AP518">
        <v>121</v>
      </c>
      <c r="AQ518">
        <v>112</v>
      </c>
      <c r="AR518">
        <v>2048</v>
      </c>
      <c r="AZ518">
        <v>1200</v>
      </c>
      <c r="BA518">
        <v>1</v>
      </c>
      <c r="BB518" t="str">
        <f t="shared" si="27"/>
        <v xml:space="preserve">N690LS  </v>
      </c>
      <c r="BC518">
        <v>1</v>
      </c>
      <c r="BE518">
        <v>0</v>
      </c>
      <c r="BF518">
        <v>0</v>
      </c>
      <c r="BG518">
        <v>0</v>
      </c>
      <c r="BH518">
        <v>10525</v>
      </c>
      <c r="BI518">
        <v>1</v>
      </c>
      <c r="BJ518">
        <v>1</v>
      </c>
      <c r="BK518">
        <v>1</v>
      </c>
      <c r="BL518">
        <v>0</v>
      </c>
      <c r="BO518">
        <v>0</v>
      </c>
      <c r="BP518">
        <v>0</v>
      </c>
      <c r="BW518" t="str">
        <f>"13:54:47.567"</f>
        <v>13:54:47.567</v>
      </c>
      <c r="CJ518">
        <v>0</v>
      </c>
      <c r="CK518">
        <v>2</v>
      </c>
      <c r="CL518">
        <v>0</v>
      </c>
      <c r="CM518">
        <v>2</v>
      </c>
      <c r="CN518">
        <v>0</v>
      </c>
      <c r="CO518">
        <v>7</v>
      </c>
      <c r="CP518" t="s">
        <v>119</v>
      </c>
      <c r="CQ518">
        <v>197</v>
      </c>
      <c r="CR518">
        <v>2</v>
      </c>
      <c r="CW518">
        <v>2319822</v>
      </c>
      <c r="CY518">
        <v>1</v>
      </c>
      <c r="CZ518">
        <v>0</v>
      </c>
      <c r="DA518">
        <v>1</v>
      </c>
      <c r="DB518">
        <v>0</v>
      </c>
      <c r="DC518">
        <v>0</v>
      </c>
      <c r="DD518">
        <v>1</v>
      </c>
      <c r="DE518">
        <v>0</v>
      </c>
      <c r="DF518">
        <v>0</v>
      </c>
      <c r="DG518">
        <v>0</v>
      </c>
      <c r="DH518">
        <v>0</v>
      </c>
      <c r="DI518">
        <v>0</v>
      </c>
    </row>
    <row r="519" spans="1:113" x14ac:dyDescent="0.3">
      <c r="A519" t="str">
        <f>"09/28/2021 13:54:48.901"</f>
        <v>09/28/2021 13:54:48.901</v>
      </c>
      <c r="C519" t="str">
        <f t="shared" si="26"/>
        <v>FFDFD3C0</v>
      </c>
      <c r="D519" t="s">
        <v>113</v>
      </c>
      <c r="E519">
        <v>7</v>
      </c>
      <c r="H519">
        <v>170</v>
      </c>
      <c r="I519" t="s">
        <v>114</v>
      </c>
      <c r="J519" t="s">
        <v>115</v>
      </c>
      <c r="K519">
        <v>0</v>
      </c>
      <c r="L519">
        <v>3</v>
      </c>
      <c r="M519">
        <v>0</v>
      </c>
      <c r="N519">
        <v>2</v>
      </c>
      <c r="O519">
        <v>1</v>
      </c>
      <c r="P519">
        <v>0</v>
      </c>
      <c r="Q519">
        <v>0</v>
      </c>
      <c r="S519" t="str">
        <f>"13:54:48.688"</f>
        <v>13:54:48.688</v>
      </c>
      <c r="T519" t="str">
        <f>"13:54:48.188"</f>
        <v>13:54:48.188</v>
      </c>
      <c r="U519" t="str">
        <f t="shared" si="28"/>
        <v>A92BC1</v>
      </c>
      <c r="V519">
        <v>0</v>
      </c>
      <c r="W519">
        <v>0</v>
      </c>
      <c r="X519">
        <v>2</v>
      </c>
      <c r="Z519">
        <v>0</v>
      </c>
      <c r="AA519">
        <v>9</v>
      </c>
      <c r="AB519">
        <v>3</v>
      </c>
      <c r="AC519">
        <v>0</v>
      </c>
      <c r="AD519">
        <v>10</v>
      </c>
      <c r="AE519">
        <v>0</v>
      </c>
      <c r="AF519">
        <v>3</v>
      </c>
      <c r="AG519">
        <v>2</v>
      </c>
      <c r="AH519">
        <v>0</v>
      </c>
      <c r="AI519" t="s">
        <v>620</v>
      </c>
      <c r="AJ519">
        <v>45.752521000000002</v>
      </c>
      <c r="AK519" t="s">
        <v>621</v>
      </c>
      <c r="AL519">
        <v>-89.344596999999993</v>
      </c>
      <c r="AM519">
        <v>100</v>
      </c>
      <c r="AN519">
        <v>10200</v>
      </c>
      <c r="AO519" t="s">
        <v>118</v>
      </c>
      <c r="AP519">
        <v>120</v>
      </c>
      <c r="AQ519">
        <v>112</v>
      </c>
      <c r="AR519">
        <v>2048</v>
      </c>
      <c r="AZ519">
        <v>1200</v>
      </c>
      <c r="BA519">
        <v>1</v>
      </c>
      <c r="BB519" t="str">
        <f t="shared" si="27"/>
        <v xml:space="preserve">N690LS  </v>
      </c>
      <c r="BC519">
        <v>1</v>
      </c>
      <c r="BE519">
        <v>0</v>
      </c>
      <c r="BF519">
        <v>0</v>
      </c>
      <c r="BG519">
        <v>0</v>
      </c>
      <c r="BH519">
        <v>10575</v>
      </c>
      <c r="BI519">
        <v>1</v>
      </c>
      <c r="BJ519">
        <v>1</v>
      </c>
      <c r="BK519">
        <v>1</v>
      </c>
      <c r="BL519">
        <v>0</v>
      </c>
      <c r="BO519">
        <v>0</v>
      </c>
      <c r="BP519">
        <v>0</v>
      </c>
      <c r="BW519" t="str">
        <f>"13:54:48.694"</f>
        <v>13:54:48.694</v>
      </c>
      <c r="CJ519">
        <v>0</v>
      </c>
      <c r="CK519">
        <v>2</v>
      </c>
      <c r="CL519">
        <v>0</v>
      </c>
      <c r="CM519">
        <v>2</v>
      </c>
      <c r="CN519">
        <v>0</v>
      </c>
      <c r="CO519">
        <v>7</v>
      </c>
      <c r="CP519" t="s">
        <v>119</v>
      </c>
      <c r="CQ519">
        <v>197</v>
      </c>
      <c r="CR519">
        <v>1</v>
      </c>
      <c r="CW519">
        <v>7244176</v>
      </c>
      <c r="CY519">
        <v>1</v>
      </c>
      <c r="CZ519">
        <v>0</v>
      </c>
      <c r="DA519">
        <v>0</v>
      </c>
      <c r="DB519">
        <v>0</v>
      </c>
      <c r="DC519">
        <v>0</v>
      </c>
      <c r="DD519">
        <v>1</v>
      </c>
      <c r="DE519">
        <v>0</v>
      </c>
      <c r="DF519">
        <v>0</v>
      </c>
      <c r="DG519">
        <v>0</v>
      </c>
      <c r="DH519">
        <v>0</v>
      </c>
      <c r="DI519">
        <v>0</v>
      </c>
    </row>
    <row r="520" spans="1:113" x14ac:dyDescent="0.3">
      <c r="A520" t="str">
        <f>"09/28/2021 13:54:48.901"</f>
        <v>09/28/2021 13:54:48.901</v>
      </c>
      <c r="C520" t="str">
        <f t="shared" si="26"/>
        <v>FFDFD3C0</v>
      </c>
      <c r="D520" t="s">
        <v>120</v>
      </c>
      <c r="E520">
        <v>12</v>
      </c>
      <c r="F520">
        <v>1012</v>
      </c>
      <c r="G520" t="s">
        <v>114</v>
      </c>
      <c r="J520" t="s">
        <v>121</v>
      </c>
      <c r="K520">
        <v>0</v>
      </c>
      <c r="L520">
        <v>3</v>
      </c>
      <c r="M520">
        <v>0</v>
      </c>
      <c r="N520">
        <v>2</v>
      </c>
      <c r="O520">
        <v>1</v>
      </c>
      <c r="P520">
        <v>0</v>
      </c>
      <c r="Q520">
        <v>0</v>
      </c>
      <c r="S520" t="str">
        <f>"13:54:48.688"</f>
        <v>13:54:48.688</v>
      </c>
      <c r="T520" t="str">
        <f>"13:54:48.188"</f>
        <v>13:54:48.188</v>
      </c>
      <c r="U520" t="str">
        <f t="shared" si="28"/>
        <v>A92BC1</v>
      </c>
      <c r="V520">
        <v>0</v>
      </c>
      <c r="W520">
        <v>0</v>
      </c>
      <c r="X520">
        <v>2</v>
      </c>
      <c r="Z520">
        <v>0</v>
      </c>
      <c r="AA520">
        <v>9</v>
      </c>
      <c r="AB520">
        <v>3</v>
      </c>
      <c r="AC520">
        <v>0</v>
      </c>
      <c r="AD520">
        <v>10</v>
      </c>
      <c r="AE520">
        <v>0</v>
      </c>
      <c r="AF520">
        <v>3</v>
      </c>
      <c r="AG520">
        <v>2</v>
      </c>
      <c r="AH520">
        <v>0</v>
      </c>
      <c r="AI520" t="s">
        <v>620</v>
      </c>
      <c r="AJ520">
        <v>45.752521000000002</v>
      </c>
      <c r="AK520" t="s">
        <v>621</v>
      </c>
      <c r="AL520">
        <v>-89.344596999999993</v>
      </c>
      <c r="AM520">
        <v>100</v>
      </c>
      <c r="AN520">
        <v>10200</v>
      </c>
      <c r="AO520" t="s">
        <v>118</v>
      </c>
      <c r="AP520">
        <v>120</v>
      </c>
      <c r="AQ520">
        <v>112</v>
      </c>
      <c r="AR520">
        <v>2048</v>
      </c>
      <c r="AZ520">
        <v>1200</v>
      </c>
      <c r="BA520">
        <v>1</v>
      </c>
      <c r="BB520" t="str">
        <f t="shared" si="27"/>
        <v xml:space="preserve">N690LS  </v>
      </c>
      <c r="BC520">
        <v>1</v>
      </c>
      <c r="BE520">
        <v>0</v>
      </c>
      <c r="BF520">
        <v>0</v>
      </c>
      <c r="BG520">
        <v>0</v>
      </c>
      <c r="BH520">
        <v>10575</v>
      </c>
      <c r="BI520">
        <v>1</v>
      </c>
      <c r="BJ520">
        <v>1</v>
      </c>
      <c r="BK520">
        <v>1</v>
      </c>
      <c r="BL520">
        <v>0</v>
      </c>
      <c r="BO520">
        <v>0</v>
      </c>
      <c r="BP520">
        <v>0</v>
      </c>
      <c r="BW520" t="str">
        <f>"13:54:48.694"</f>
        <v>13:54:48.694</v>
      </c>
      <c r="CJ520">
        <v>0</v>
      </c>
      <c r="CK520">
        <v>2</v>
      </c>
      <c r="CL520">
        <v>0</v>
      </c>
      <c r="CM520">
        <v>2</v>
      </c>
      <c r="CN520">
        <v>0</v>
      </c>
      <c r="CO520">
        <v>7</v>
      </c>
      <c r="CP520" t="s">
        <v>119</v>
      </c>
      <c r="CQ520">
        <v>197</v>
      </c>
      <c r="CR520">
        <v>1</v>
      </c>
      <c r="CW520">
        <v>7244176</v>
      </c>
      <c r="CY520">
        <v>1</v>
      </c>
      <c r="CZ520">
        <v>0</v>
      </c>
      <c r="DA520">
        <v>1</v>
      </c>
      <c r="DB520">
        <v>0</v>
      </c>
      <c r="DC520">
        <v>0</v>
      </c>
      <c r="DD520">
        <v>1</v>
      </c>
      <c r="DE520">
        <v>0</v>
      </c>
      <c r="DF520">
        <v>0</v>
      </c>
      <c r="DG520">
        <v>0</v>
      </c>
      <c r="DH520">
        <v>0</v>
      </c>
      <c r="DI520">
        <v>0</v>
      </c>
    </row>
    <row r="521" spans="1:113" x14ac:dyDescent="0.3">
      <c r="A521" t="str">
        <f>"09/28/2021 13:54:49.745"</f>
        <v>09/28/2021 13:54:49.745</v>
      </c>
      <c r="C521" t="str">
        <f t="shared" si="26"/>
        <v>FFDFD3C0</v>
      </c>
      <c r="D521" t="s">
        <v>113</v>
      </c>
      <c r="E521">
        <v>7</v>
      </c>
      <c r="H521">
        <v>170</v>
      </c>
      <c r="I521" t="s">
        <v>114</v>
      </c>
      <c r="J521" t="s">
        <v>115</v>
      </c>
      <c r="K521">
        <v>0</v>
      </c>
      <c r="L521">
        <v>3</v>
      </c>
      <c r="M521">
        <v>0</v>
      </c>
      <c r="N521">
        <v>2</v>
      </c>
      <c r="O521">
        <v>1</v>
      </c>
      <c r="P521">
        <v>0</v>
      </c>
      <c r="Q521">
        <v>0</v>
      </c>
      <c r="S521" t="str">
        <f>"13:54:49.539"</f>
        <v>13:54:49.539</v>
      </c>
      <c r="T521" t="str">
        <f>"13:54:49.139"</f>
        <v>13:54:49.139</v>
      </c>
      <c r="U521" t="str">
        <f t="shared" si="28"/>
        <v>A92BC1</v>
      </c>
      <c r="V521">
        <v>0</v>
      </c>
      <c r="W521">
        <v>0</v>
      </c>
      <c r="X521">
        <v>2</v>
      </c>
      <c r="Z521">
        <v>0</v>
      </c>
      <c r="AA521">
        <v>9</v>
      </c>
      <c r="AB521">
        <v>3</v>
      </c>
      <c r="AC521">
        <v>0</v>
      </c>
      <c r="AD521">
        <v>10</v>
      </c>
      <c r="AE521">
        <v>0</v>
      </c>
      <c r="AF521">
        <v>3</v>
      </c>
      <c r="AG521">
        <v>2</v>
      </c>
      <c r="AH521">
        <v>0</v>
      </c>
      <c r="AI521" t="s">
        <v>622</v>
      </c>
      <c r="AJ521">
        <v>45.752971000000002</v>
      </c>
      <c r="AK521" t="s">
        <v>623</v>
      </c>
      <c r="AL521">
        <v>-89.343909999999994</v>
      </c>
      <c r="AM521">
        <v>100</v>
      </c>
      <c r="AN521">
        <v>10300</v>
      </c>
      <c r="AO521" t="s">
        <v>118</v>
      </c>
      <c r="AP521">
        <v>120</v>
      </c>
      <c r="AQ521">
        <v>112</v>
      </c>
      <c r="AR521">
        <v>2048</v>
      </c>
      <c r="AZ521">
        <v>1200</v>
      </c>
      <c r="BA521">
        <v>1</v>
      </c>
      <c r="BB521" t="str">
        <f t="shared" si="27"/>
        <v xml:space="preserve">N690LS  </v>
      </c>
      <c r="BC521">
        <v>1</v>
      </c>
      <c r="BE521">
        <v>0</v>
      </c>
      <c r="BF521">
        <v>0</v>
      </c>
      <c r="BG521">
        <v>0</v>
      </c>
      <c r="BH521">
        <v>10600</v>
      </c>
      <c r="BI521">
        <v>1</v>
      </c>
      <c r="BJ521">
        <v>1</v>
      </c>
      <c r="BK521">
        <v>1</v>
      </c>
      <c r="BL521">
        <v>0</v>
      </c>
      <c r="BO521">
        <v>0</v>
      </c>
      <c r="BP521">
        <v>0</v>
      </c>
      <c r="BW521" t="str">
        <f>"13:54:49.545"</f>
        <v>13:54:49.545</v>
      </c>
      <c r="CJ521">
        <v>0</v>
      </c>
      <c r="CK521">
        <v>2</v>
      </c>
      <c r="CL521">
        <v>0</v>
      </c>
      <c r="CM521">
        <v>2</v>
      </c>
      <c r="CN521">
        <v>0</v>
      </c>
      <c r="CO521">
        <v>6</v>
      </c>
      <c r="CP521" t="s">
        <v>119</v>
      </c>
      <c r="CQ521">
        <v>209</v>
      </c>
      <c r="CR521">
        <v>3</v>
      </c>
      <c r="CW521">
        <v>7190540</v>
      </c>
      <c r="CY521">
        <v>1</v>
      </c>
      <c r="CZ521">
        <v>0</v>
      </c>
      <c r="DA521">
        <v>0</v>
      </c>
      <c r="DB521">
        <v>0</v>
      </c>
      <c r="DC521">
        <v>0</v>
      </c>
      <c r="DD521">
        <v>1</v>
      </c>
      <c r="DE521">
        <v>0</v>
      </c>
      <c r="DF521">
        <v>0</v>
      </c>
      <c r="DG521">
        <v>0</v>
      </c>
      <c r="DH521">
        <v>0</v>
      </c>
      <c r="DI521">
        <v>0</v>
      </c>
    </row>
    <row r="522" spans="1:113" x14ac:dyDescent="0.3">
      <c r="A522" t="str">
        <f>"09/28/2021 13:54:49.745"</f>
        <v>09/28/2021 13:54:49.745</v>
      </c>
      <c r="C522" t="str">
        <f t="shared" si="26"/>
        <v>FFDFD3C0</v>
      </c>
      <c r="D522" t="s">
        <v>120</v>
      </c>
      <c r="E522">
        <v>12</v>
      </c>
      <c r="F522">
        <v>1012</v>
      </c>
      <c r="G522" t="s">
        <v>114</v>
      </c>
      <c r="J522" t="s">
        <v>121</v>
      </c>
      <c r="K522">
        <v>0</v>
      </c>
      <c r="L522">
        <v>3</v>
      </c>
      <c r="M522">
        <v>0</v>
      </c>
      <c r="N522">
        <v>2</v>
      </c>
      <c r="O522">
        <v>1</v>
      </c>
      <c r="P522">
        <v>0</v>
      </c>
      <c r="Q522">
        <v>0</v>
      </c>
      <c r="S522" t="str">
        <f>"13:54:49.539"</f>
        <v>13:54:49.539</v>
      </c>
      <c r="T522" t="str">
        <f>"13:54:49.139"</f>
        <v>13:54:49.139</v>
      </c>
      <c r="U522" t="str">
        <f t="shared" si="28"/>
        <v>A92BC1</v>
      </c>
      <c r="V522">
        <v>0</v>
      </c>
      <c r="W522">
        <v>0</v>
      </c>
      <c r="X522">
        <v>2</v>
      </c>
      <c r="Z522">
        <v>0</v>
      </c>
      <c r="AA522">
        <v>9</v>
      </c>
      <c r="AB522">
        <v>3</v>
      </c>
      <c r="AC522">
        <v>0</v>
      </c>
      <c r="AD522">
        <v>10</v>
      </c>
      <c r="AE522">
        <v>0</v>
      </c>
      <c r="AF522">
        <v>3</v>
      </c>
      <c r="AG522">
        <v>2</v>
      </c>
      <c r="AH522">
        <v>0</v>
      </c>
      <c r="AI522" t="s">
        <v>622</v>
      </c>
      <c r="AJ522">
        <v>45.752971000000002</v>
      </c>
      <c r="AK522" t="s">
        <v>623</v>
      </c>
      <c r="AL522">
        <v>-89.343909999999994</v>
      </c>
      <c r="AM522">
        <v>100</v>
      </c>
      <c r="AN522">
        <v>10300</v>
      </c>
      <c r="AO522" t="s">
        <v>118</v>
      </c>
      <c r="AP522">
        <v>120</v>
      </c>
      <c r="AQ522">
        <v>112</v>
      </c>
      <c r="AR522">
        <v>2048</v>
      </c>
      <c r="AZ522">
        <v>1200</v>
      </c>
      <c r="BA522">
        <v>1</v>
      </c>
      <c r="BB522" t="str">
        <f t="shared" si="27"/>
        <v xml:space="preserve">N690LS  </v>
      </c>
      <c r="BC522">
        <v>1</v>
      </c>
      <c r="BE522">
        <v>0</v>
      </c>
      <c r="BF522">
        <v>0</v>
      </c>
      <c r="BG522">
        <v>0</v>
      </c>
      <c r="BH522">
        <v>10600</v>
      </c>
      <c r="BI522">
        <v>1</v>
      </c>
      <c r="BJ522">
        <v>1</v>
      </c>
      <c r="BK522">
        <v>1</v>
      </c>
      <c r="BL522">
        <v>0</v>
      </c>
      <c r="BO522">
        <v>0</v>
      </c>
      <c r="BP522">
        <v>0</v>
      </c>
      <c r="BW522" t="str">
        <f>"13:54:49.545"</f>
        <v>13:54:49.545</v>
      </c>
      <c r="CJ522">
        <v>0</v>
      </c>
      <c r="CK522">
        <v>2</v>
      </c>
      <c r="CL522">
        <v>0</v>
      </c>
      <c r="CM522">
        <v>2</v>
      </c>
      <c r="CN522">
        <v>0</v>
      </c>
      <c r="CO522">
        <v>6</v>
      </c>
      <c r="CP522" t="s">
        <v>119</v>
      </c>
      <c r="CQ522">
        <v>209</v>
      </c>
      <c r="CR522">
        <v>3</v>
      </c>
      <c r="CW522">
        <v>7190540</v>
      </c>
      <c r="CY522">
        <v>1</v>
      </c>
      <c r="CZ522">
        <v>0</v>
      </c>
      <c r="DA522">
        <v>1</v>
      </c>
      <c r="DB522">
        <v>0</v>
      </c>
      <c r="DC522">
        <v>0</v>
      </c>
      <c r="DD522">
        <v>1</v>
      </c>
      <c r="DE522">
        <v>0</v>
      </c>
      <c r="DF522">
        <v>0</v>
      </c>
      <c r="DG522">
        <v>0</v>
      </c>
      <c r="DH522">
        <v>0</v>
      </c>
      <c r="DI522">
        <v>0</v>
      </c>
    </row>
    <row r="523" spans="1:113" x14ac:dyDescent="0.3">
      <c r="A523" t="str">
        <f>"09/28/2021 13:54:50.683"</f>
        <v>09/28/2021 13:54:50.683</v>
      </c>
      <c r="C523" t="str">
        <f t="shared" si="26"/>
        <v>FFDFD3C0</v>
      </c>
      <c r="D523" t="s">
        <v>113</v>
      </c>
      <c r="E523">
        <v>7</v>
      </c>
      <c r="H523">
        <v>170</v>
      </c>
      <c r="I523" t="s">
        <v>114</v>
      </c>
      <c r="J523" t="s">
        <v>115</v>
      </c>
      <c r="K523">
        <v>0</v>
      </c>
      <c r="L523">
        <v>3</v>
      </c>
      <c r="M523">
        <v>0</v>
      </c>
      <c r="N523">
        <v>2</v>
      </c>
      <c r="O523">
        <v>1</v>
      </c>
      <c r="P523">
        <v>0</v>
      </c>
      <c r="Q523">
        <v>0</v>
      </c>
      <c r="S523" t="str">
        <f>"13:54:50.484"</f>
        <v>13:54:50.484</v>
      </c>
      <c r="T523" t="str">
        <f>"13:54:50.084"</f>
        <v>13:54:50.084</v>
      </c>
      <c r="U523" t="str">
        <f t="shared" si="28"/>
        <v>A92BC1</v>
      </c>
      <c r="V523">
        <v>0</v>
      </c>
      <c r="W523">
        <v>0</v>
      </c>
      <c r="X523">
        <v>2</v>
      </c>
      <c r="Z523">
        <v>0</v>
      </c>
      <c r="AA523">
        <v>9</v>
      </c>
      <c r="AB523">
        <v>3</v>
      </c>
      <c r="AC523">
        <v>0</v>
      </c>
      <c r="AD523">
        <v>10</v>
      </c>
      <c r="AE523">
        <v>0</v>
      </c>
      <c r="AF523">
        <v>3</v>
      </c>
      <c r="AG523">
        <v>2</v>
      </c>
      <c r="AH523">
        <v>0</v>
      </c>
      <c r="AI523" t="s">
        <v>624</v>
      </c>
      <c r="AJ523">
        <v>45.753442999999997</v>
      </c>
      <c r="AK523" t="s">
        <v>625</v>
      </c>
      <c r="AL523">
        <v>-89.343159</v>
      </c>
      <c r="AM523">
        <v>100</v>
      </c>
      <c r="AN523">
        <v>10300</v>
      </c>
      <c r="AO523" t="s">
        <v>118</v>
      </c>
      <c r="AP523">
        <v>120</v>
      </c>
      <c r="AQ523">
        <v>112</v>
      </c>
      <c r="AR523">
        <v>2048</v>
      </c>
      <c r="AZ523">
        <v>1200</v>
      </c>
      <c r="BA523">
        <v>1</v>
      </c>
      <c r="BB523" t="str">
        <f t="shared" si="27"/>
        <v xml:space="preserve">N690LS  </v>
      </c>
      <c r="BC523">
        <v>1</v>
      </c>
      <c r="BE523">
        <v>0</v>
      </c>
      <c r="BF523">
        <v>0</v>
      </c>
      <c r="BG523">
        <v>0</v>
      </c>
      <c r="BH523">
        <v>10650</v>
      </c>
      <c r="BI523">
        <v>1</v>
      </c>
      <c r="BJ523">
        <v>1</v>
      </c>
      <c r="BK523">
        <v>1</v>
      </c>
      <c r="BL523">
        <v>0</v>
      </c>
      <c r="BO523">
        <v>0</v>
      </c>
      <c r="BP523">
        <v>0</v>
      </c>
      <c r="BW523" t="str">
        <f>"13:54:50.492"</f>
        <v>13:54:50.492</v>
      </c>
      <c r="CJ523">
        <v>0</v>
      </c>
      <c r="CK523">
        <v>2</v>
      </c>
      <c r="CL523">
        <v>0</v>
      </c>
      <c r="CM523">
        <v>2</v>
      </c>
      <c r="CN523">
        <v>0</v>
      </c>
      <c r="CO523">
        <v>6</v>
      </c>
      <c r="CP523" t="s">
        <v>119</v>
      </c>
      <c r="CQ523">
        <v>209</v>
      </c>
      <c r="CR523">
        <v>3</v>
      </c>
      <c r="CW523">
        <v>7190841</v>
      </c>
      <c r="CY523">
        <v>1</v>
      </c>
      <c r="CZ523">
        <v>0</v>
      </c>
      <c r="DA523">
        <v>0</v>
      </c>
      <c r="DB523">
        <v>0</v>
      </c>
      <c r="DC523">
        <v>0</v>
      </c>
      <c r="DD523">
        <v>1</v>
      </c>
      <c r="DE523">
        <v>0</v>
      </c>
      <c r="DF523">
        <v>0</v>
      </c>
      <c r="DG523">
        <v>0</v>
      </c>
      <c r="DH523">
        <v>0</v>
      </c>
      <c r="DI523">
        <v>0</v>
      </c>
    </row>
    <row r="524" spans="1:113" x14ac:dyDescent="0.3">
      <c r="A524" t="str">
        <f>"09/28/2021 13:54:50.683"</f>
        <v>09/28/2021 13:54:50.683</v>
      </c>
      <c r="C524" t="str">
        <f t="shared" si="26"/>
        <v>FFDFD3C0</v>
      </c>
      <c r="D524" t="s">
        <v>120</v>
      </c>
      <c r="E524">
        <v>12</v>
      </c>
      <c r="F524">
        <v>1012</v>
      </c>
      <c r="G524" t="s">
        <v>114</v>
      </c>
      <c r="J524" t="s">
        <v>121</v>
      </c>
      <c r="K524">
        <v>0</v>
      </c>
      <c r="L524">
        <v>3</v>
      </c>
      <c r="M524">
        <v>0</v>
      </c>
      <c r="N524">
        <v>2</v>
      </c>
      <c r="O524">
        <v>1</v>
      </c>
      <c r="P524">
        <v>0</v>
      </c>
      <c r="Q524">
        <v>0</v>
      </c>
      <c r="S524" t="str">
        <f>"13:54:50.484"</f>
        <v>13:54:50.484</v>
      </c>
      <c r="T524" t="str">
        <f>"13:54:50.084"</f>
        <v>13:54:50.084</v>
      </c>
      <c r="U524" t="str">
        <f t="shared" si="28"/>
        <v>A92BC1</v>
      </c>
      <c r="V524">
        <v>0</v>
      </c>
      <c r="W524">
        <v>0</v>
      </c>
      <c r="X524">
        <v>2</v>
      </c>
      <c r="Z524">
        <v>0</v>
      </c>
      <c r="AA524">
        <v>9</v>
      </c>
      <c r="AB524">
        <v>3</v>
      </c>
      <c r="AC524">
        <v>0</v>
      </c>
      <c r="AD524">
        <v>10</v>
      </c>
      <c r="AE524">
        <v>0</v>
      </c>
      <c r="AF524">
        <v>3</v>
      </c>
      <c r="AG524">
        <v>2</v>
      </c>
      <c r="AH524">
        <v>0</v>
      </c>
      <c r="AI524" t="s">
        <v>624</v>
      </c>
      <c r="AJ524">
        <v>45.753442999999997</v>
      </c>
      <c r="AK524" t="s">
        <v>625</v>
      </c>
      <c r="AL524">
        <v>-89.343159</v>
      </c>
      <c r="AM524">
        <v>100</v>
      </c>
      <c r="AN524">
        <v>10300</v>
      </c>
      <c r="AO524" t="s">
        <v>118</v>
      </c>
      <c r="AP524">
        <v>120</v>
      </c>
      <c r="AQ524">
        <v>112</v>
      </c>
      <c r="AR524">
        <v>2048</v>
      </c>
      <c r="AZ524">
        <v>1200</v>
      </c>
      <c r="BA524">
        <v>1</v>
      </c>
      <c r="BB524" t="str">
        <f t="shared" si="27"/>
        <v xml:space="preserve">N690LS  </v>
      </c>
      <c r="BC524">
        <v>1</v>
      </c>
      <c r="BE524">
        <v>0</v>
      </c>
      <c r="BF524">
        <v>0</v>
      </c>
      <c r="BG524">
        <v>0</v>
      </c>
      <c r="BH524">
        <v>10650</v>
      </c>
      <c r="BI524">
        <v>1</v>
      </c>
      <c r="BJ524">
        <v>1</v>
      </c>
      <c r="BK524">
        <v>1</v>
      </c>
      <c r="BL524">
        <v>0</v>
      </c>
      <c r="BO524">
        <v>0</v>
      </c>
      <c r="BP524">
        <v>0</v>
      </c>
      <c r="BW524" t="str">
        <f>"13:54:50.492"</f>
        <v>13:54:50.492</v>
      </c>
      <c r="CJ524">
        <v>0</v>
      </c>
      <c r="CK524">
        <v>2</v>
      </c>
      <c r="CL524">
        <v>0</v>
      </c>
      <c r="CM524">
        <v>2</v>
      </c>
      <c r="CN524">
        <v>0</v>
      </c>
      <c r="CO524">
        <v>6</v>
      </c>
      <c r="CP524" t="s">
        <v>119</v>
      </c>
      <c r="CQ524">
        <v>209</v>
      </c>
      <c r="CR524">
        <v>3</v>
      </c>
      <c r="CW524">
        <v>7190841</v>
      </c>
      <c r="CY524">
        <v>1</v>
      </c>
      <c r="CZ524">
        <v>0</v>
      </c>
      <c r="DA524">
        <v>1</v>
      </c>
      <c r="DB524">
        <v>0</v>
      </c>
      <c r="DC524">
        <v>0</v>
      </c>
      <c r="DD524">
        <v>1</v>
      </c>
      <c r="DE524">
        <v>0</v>
      </c>
      <c r="DF524">
        <v>0</v>
      </c>
      <c r="DG524">
        <v>0</v>
      </c>
      <c r="DH524">
        <v>0</v>
      </c>
      <c r="DI524">
        <v>0</v>
      </c>
    </row>
    <row r="525" spans="1:113" x14ac:dyDescent="0.3">
      <c r="A525" t="str">
        <f>"09/28/2021 13:54:51.806"</f>
        <v>09/28/2021 13:54:51.806</v>
      </c>
      <c r="C525" t="str">
        <f t="shared" si="26"/>
        <v>FFDFD3C0</v>
      </c>
      <c r="D525" t="s">
        <v>113</v>
      </c>
      <c r="E525">
        <v>7</v>
      </c>
      <c r="H525">
        <v>170</v>
      </c>
      <c r="I525" t="s">
        <v>114</v>
      </c>
      <c r="J525" t="s">
        <v>115</v>
      </c>
      <c r="K525">
        <v>0</v>
      </c>
      <c r="L525">
        <v>3</v>
      </c>
      <c r="M525">
        <v>0</v>
      </c>
      <c r="N525">
        <v>2</v>
      </c>
      <c r="O525">
        <v>1</v>
      </c>
      <c r="P525">
        <v>0</v>
      </c>
      <c r="Q525">
        <v>0</v>
      </c>
      <c r="S525" t="str">
        <f>"13:54:51.586"</f>
        <v>13:54:51.586</v>
      </c>
      <c r="T525" t="str">
        <f>"13:54:51.086"</f>
        <v>13:54:51.086</v>
      </c>
      <c r="U525" t="str">
        <f t="shared" si="28"/>
        <v>A92BC1</v>
      </c>
      <c r="V525">
        <v>0</v>
      </c>
      <c r="W525">
        <v>0</v>
      </c>
      <c r="X525">
        <v>2</v>
      </c>
      <c r="Z525">
        <v>0</v>
      </c>
      <c r="AA525">
        <v>9</v>
      </c>
      <c r="AB525">
        <v>3</v>
      </c>
      <c r="AC525">
        <v>0</v>
      </c>
      <c r="AD525">
        <v>10</v>
      </c>
      <c r="AE525">
        <v>0</v>
      </c>
      <c r="AF525">
        <v>3</v>
      </c>
      <c r="AG525">
        <v>2</v>
      </c>
      <c r="AH525">
        <v>0</v>
      </c>
      <c r="AI525" t="s">
        <v>626</v>
      </c>
      <c r="AJ525">
        <v>45.754022999999997</v>
      </c>
      <c r="AK525" t="s">
        <v>627</v>
      </c>
      <c r="AL525">
        <v>-89.342301000000006</v>
      </c>
      <c r="AM525">
        <v>100</v>
      </c>
      <c r="AN525">
        <v>10300</v>
      </c>
      <c r="AO525" t="s">
        <v>118</v>
      </c>
      <c r="AP525">
        <v>120</v>
      </c>
      <c r="AQ525">
        <v>111</v>
      </c>
      <c r="AR525">
        <v>2048</v>
      </c>
      <c r="AZ525">
        <v>1200</v>
      </c>
      <c r="BA525">
        <v>1</v>
      </c>
      <c r="BB525" t="str">
        <f t="shared" si="27"/>
        <v xml:space="preserve">N690LS  </v>
      </c>
      <c r="BC525">
        <v>1</v>
      </c>
      <c r="BE525">
        <v>0</v>
      </c>
      <c r="BF525">
        <v>0</v>
      </c>
      <c r="BG525">
        <v>0</v>
      </c>
      <c r="BH525">
        <v>10675</v>
      </c>
      <c r="BI525">
        <v>1</v>
      </c>
      <c r="BJ525">
        <v>1</v>
      </c>
      <c r="BK525">
        <v>1</v>
      </c>
      <c r="BL525">
        <v>0</v>
      </c>
      <c r="BO525">
        <v>0</v>
      </c>
      <c r="BP525">
        <v>0</v>
      </c>
      <c r="BW525" t="str">
        <f>"13:54:51.588"</f>
        <v>13:54:51.588</v>
      </c>
      <c r="CJ525">
        <v>0</v>
      </c>
      <c r="CK525">
        <v>2</v>
      </c>
      <c r="CL525">
        <v>0</v>
      </c>
      <c r="CM525">
        <v>2</v>
      </c>
      <c r="CN525">
        <v>0</v>
      </c>
      <c r="CO525">
        <v>6</v>
      </c>
      <c r="CP525" t="s">
        <v>119</v>
      </c>
      <c r="CQ525">
        <v>209</v>
      </c>
      <c r="CR525">
        <v>3</v>
      </c>
      <c r="CW525">
        <v>7191139</v>
      </c>
      <c r="CY525">
        <v>1</v>
      </c>
      <c r="CZ525">
        <v>0</v>
      </c>
      <c r="DA525">
        <v>0</v>
      </c>
      <c r="DB525">
        <v>0</v>
      </c>
      <c r="DC525">
        <v>0</v>
      </c>
      <c r="DD525">
        <v>1</v>
      </c>
      <c r="DE525">
        <v>0</v>
      </c>
      <c r="DF525">
        <v>0</v>
      </c>
      <c r="DG525">
        <v>0</v>
      </c>
      <c r="DH525">
        <v>0</v>
      </c>
      <c r="DI525">
        <v>0</v>
      </c>
    </row>
    <row r="526" spans="1:113" x14ac:dyDescent="0.3">
      <c r="A526" t="str">
        <f>"09/28/2021 13:54:51.806"</f>
        <v>09/28/2021 13:54:51.806</v>
      </c>
      <c r="C526" t="str">
        <f t="shared" si="26"/>
        <v>FFDFD3C0</v>
      </c>
      <c r="D526" t="s">
        <v>120</v>
      </c>
      <c r="E526">
        <v>12</v>
      </c>
      <c r="F526">
        <v>1012</v>
      </c>
      <c r="G526" t="s">
        <v>114</v>
      </c>
      <c r="J526" t="s">
        <v>121</v>
      </c>
      <c r="K526">
        <v>0</v>
      </c>
      <c r="L526">
        <v>3</v>
      </c>
      <c r="M526">
        <v>0</v>
      </c>
      <c r="N526">
        <v>2</v>
      </c>
      <c r="O526">
        <v>1</v>
      </c>
      <c r="P526">
        <v>0</v>
      </c>
      <c r="Q526">
        <v>0</v>
      </c>
      <c r="S526" t="str">
        <f>"13:54:51.586"</f>
        <v>13:54:51.586</v>
      </c>
      <c r="T526" t="str">
        <f>"13:54:51.086"</f>
        <v>13:54:51.086</v>
      </c>
      <c r="U526" t="str">
        <f t="shared" si="28"/>
        <v>A92BC1</v>
      </c>
      <c r="V526">
        <v>0</v>
      </c>
      <c r="W526">
        <v>0</v>
      </c>
      <c r="X526">
        <v>2</v>
      </c>
      <c r="Z526">
        <v>0</v>
      </c>
      <c r="AA526">
        <v>9</v>
      </c>
      <c r="AB526">
        <v>3</v>
      </c>
      <c r="AC526">
        <v>0</v>
      </c>
      <c r="AD526">
        <v>10</v>
      </c>
      <c r="AE526">
        <v>0</v>
      </c>
      <c r="AF526">
        <v>3</v>
      </c>
      <c r="AG526">
        <v>2</v>
      </c>
      <c r="AH526">
        <v>0</v>
      </c>
      <c r="AI526" t="s">
        <v>626</v>
      </c>
      <c r="AJ526">
        <v>45.754022999999997</v>
      </c>
      <c r="AK526" t="s">
        <v>627</v>
      </c>
      <c r="AL526">
        <v>-89.342301000000006</v>
      </c>
      <c r="AM526">
        <v>100</v>
      </c>
      <c r="AN526">
        <v>10300</v>
      </c>
      <c r="AO526" t="s">
        <v>118</v>
      </c>
      <c r="AP526">
        <v>120</v>
      </c>
      <c r="AQ526">
        <v>111</v>
      </c>
      <c r="AR526">
        <v>2048</v>
      </c>
      <c r="AZ526">
        <v>1200</v>
      </c>
      <c r="BA526">
        <v>1</v>
      </c>
      <c r="BB526" t="str">
        <f t="shared" si="27"/>
        <v xml:space="preserve">N690LS  </v>
      </c>
      <c r="BC526">
        <v>1</v>
      </c>
      <c r="BE526">
        <v>0</v>
      </c>
      <c r="BF526">
        <v>0</v>
      </c>
      <c r="BG526">
        <v>0</v>
      </c>
      <c r="BH526">
        <v>10675</v>
      </c>
      <c r="BI526">
        <v>1</v>
      </c>
      <c r="BJ526">
        <v>1</v>
      </c>
      <c r="BK526">
        <v>1</v>
      </c>
      <c r="BL526">
        <v>0</v>
      </c>
      <c r="BO526">
        <v>0</v>
      </c>
      <c r="BP526">
        <v>0</v>
      </c>
      <c r="BW526" t="str">
        <f>"13:54:51.588"</f>
        <v>13:54:51.588</v>
      </c>
      <c r="CJ526">
        <v>0</v>
      </c>
      <c r="CK526">
        <v>2</v>
      </c>
      <c r="CL526">
        <v>0</v>
      </c>
      <c r="CM526">
        <v>2</v>
      </c>
      <c r="CN526">
        <v>0</v>
      </c>
      <c r="CO526">
        <v>6</v>
      </c>
      <c r="CP526" t="s">
        <v>119</v>
      </c>
      <c r="CQ526">
        <v>209</v>
      </c>
      <c r="CR526">
        <v>3</v>
      </c>
      <c r="CW526">
        <v>7191139</v>
      </c>
      <c r="CY526">
        <v>1</v>
      </c>
      <c r="CZ526">
        <v>0</v>
      </c>
      <c r="DA526">
        <v>1</v>
      </c>
      <c r="DB526">
        <v>0</v>
      </c>
      <c r="DC526">
        <v>0</v>
      </c>
      <c r="DD526">
        <v>1</v>
      </c>
      <c r="DE526">
        <v>0</v>
      </c>
      <c r="DF526">
        <v>0</v>
      </c>
      <c r="DG526">
        <v>0</v>
      </c>
      <c r="DH526">
        <v>0</v>
      </c>
      <c r="DI526">
        <v>0</v>
      </c>
    </row>
    <row r="527" spans="1:113" x14ac:dyDescent="0.3">
      <c r="A527" t="str">
        <f>"09/28/2021 13:54:53.009"</f>
        <v>09/28/2021 13:54:53.009</v>
      </c>
      <c r="C527" t="str">
        <f t="shared" si="26"/>
        <v>FFDFD3C0</v>
      </c>
      <c r="D527" t="s">
        <v>113</v>
      </c>
      <c r="E527">
        <v>7</v>
      </c>
      <c r="H527">
        <v>170</v>
      </c>
      <c r="I527" t="s">
        <v>114</v>
      </c>
      <c r="J527" t="s">
        <v>115</v>
      </c>
      <c r="K527">
        <v>0</v>
      </c>
      <c r="L527">
        <v>3</v>
      </c>
      <c r="M527">
        <v>0</v>
      </c>
      <c r="N527">
        <v>2</v>
      </c>
      <c r="O527">
        <v>1</v>
      </c>
      <c r="P527">
        <v>0</v>
      </c>
      <c r="Q527">
        <v>0</v>
      </c>
      <c r="S527" t="str">
        <f>"13:54:52.695"</f>
        <v>13:54:52.695</v>
      </c>
      <c r="T527" t="str">
        <f>"13:54:52.195"</f>
        <v>13:54:52.195</v>
      </c>
      <c r="U527" t="str">
        <f t="shared" si="28"/>
        <v>A92BC1</v>
      </c>
      <c r="V527">
        <v>0</v>
      </c>
      <c r="W527">
        <v>0</v>
      </c>
      <c r="X527">
        <v>2</v>
      </c>
      <c r="Z527">
        <v>0</v>
      </c>
      <c r="AA527">
        <v>9</v>
      </c>
      <c r="AB527">
        <v>3</v>
      </c>
      <c r="AC527">
        <v>0</v>
      </c>
      <c r="AD527">
        <v>10</v>
      </c>
      <c r="AE527">
        <v>0</v>
      </c>
      <c r="AF527">
        <v>3</v>
      </c>
      <c r="AG527">
        <v>2</v>
      </c>
      <c r="AH527">
        <v>0</v>
      </c>
      <c r="AI527" t="s">
        <v>628</v>
      </c>
      <c r="AJ527">
        <v>45.754559</v>
      </c>
      <c r="AK527" t="s">
        <v>629</v>
      </c>
      <c r="AL527">
        <v>-89.341442999999998</v>
      </c>
      <c r="AM527">
        <v>100</v>
      </c>
      <c r="AN527">
        <v>10400</v>
      </c>
      <c r="AO527" t="s">
        <v>118</v>
      </c>
      <c r="AP527">
        <v>120</v>
      </c>
      <c r="AQ527">
        <v>111</v>
      </c>
      <c r="AR527">
        <v>2048</v>
      </c>
      <c r="AZ527">
        <v>1200</v>
      </c>
      <c r="BA527">
        <v>1</v>
      </c>
      <c r="BB527" t="str">
        <f t="shared" si="27"/>
        <v xml:space="preserve">N690LS  </v>
      </c>
      <c r="BC527">
        <v>1</v>
      </c>
      <c r="BE527">
        <v>0</v>
      </c>
      <c r="BF527">
        <v>0</v>
      </c>
      <c r="BG527">
        <v>0</v>
      </c>
      <c r="BH527">
        <v>10700</v>
      </c>
      <c r="BI527">
        <v>1</v>
      </c>
      <c r="BJ527">
        <v>1</v>
      </c>
      <c r="BK527">
        <v>1</v>
      </c>
      <c r="BL527">
        <v>0</v>
      </c>
      <c r="BO527">
        <v>0</v>
      </c>
      <c r="BP527">
        <v>0</v>
      </c>
      <c r="BW527" t="str">
        <f>"13:54:52.700"</f>
        <v>13:54:52.700</v>
      </c>
      <c r="CJ527">
        <v>0</v>
      </c>
      <c r="CK527">
        <v>2</v>
      </c>
      <c r="CL527">
        <v>0</v>
      </c>
      <c r="CM527">
        <v>2</v>
      </c>
      <c r="CN527">
        <v>0</v>
      </c>
      <c r="CO527">
        <v>6</v>
      </c>
      <c r="CP527" t="s">
        <v>119</v>
      </c>
      <c r="CQ527">
        <v>209</v>
      </c>
      <c r="CR527">
        <v>3</v>
      </c>
      <c r="CW527">
        <v>7191447</v>
      </c>
      <c r="CY527">
        <v>1</v>
      </c>
      <c r="CZ527">
        <v>0</v>
      </c>
      <c r="DA527">
        <v>0</v>
      </c>
      <c r="DB527">
        <v>0</v>
      </c>
      <c r="DC527">
        <v>0</v>
      </c>
      <c r="DD527">
        <v>1</v>
      </c>
      <c r="DE527">
        <v>0</v>
      </c>
      <c r="DF527">
        <v>0</v>
      </c>
      <c r="DG527">
        <v>0</v>
      </c>
      <c r="DH527">
        <v>0</v>
      </c>
      <c r="DI527">
        <v>0</v>
      </c>
    </row>
    <row r="528" spans="1:113" x14ac:dyDescent="0.3">
      <c r="A528" t="str">
        <f>"09/28/2021 13:54:53.009"</f>
        <v>09/28/2021 13:54:53.009</v>
      </c>
      <c r="C528" t="str">
        <f t="shared" si="26"/>
        <v>FFDFD3C0</v>
      </c>
      <c r="D528" t="s">
        <v>120</v>
      </c>
      <c r="E528">
        <v>12</v>
      </c>
      <c r="F528">
        <v>1012</v>
      </c>
      <c r="G528" t="s">
        <v>114</v>
      </c>
      <c r="J528" t="s">
        <v>121</v>
      </c>
      <c r="K528">
        <v>0</v>
      </c>
      <c r="L528">
        <v>3</v>
      </c>
      <c r="M528">
        <v>0</v>
      </c>
      <c r="N528">
        <v>2</v>
      </c>
      <c r="O528">
        <v>1</v>
      </c>
      <c r="P528">
        <v>0</v>
      </c>
      <c r="Q528">
        <v>0</v>
      </c>
      <c r="S528" t="str">
        <f>"13:54:52.695"</f>
        <v>13:54:52.695</v>
      </c>
      <c r="T528" t="str">
        <f>"13:54:52.195"</f>
        <v>13:54:52.195</v>
      </c>
      <c r="U528" t="str">
        <f t="shared" si="28"/>
        <v>A92BC1</v>
      </c>
      <c r="V528">
        <v>0</v>
      </c>
      <c r="W528">
        <v>0</v>
      </c>
      <c r="X528">
        <v>2</v>
      </c>
      <c r="Z528">
        <v>0</v>
      </c>
      <c r="AA528">
        <v>9</v>
      </c>
      <c r="AB528">
        <v>3</v>
      </c>
      <c r="AC528">
        <v>0</v>
      </c>
      <c r="AD528">
        <v>10</v>
      </c>
      <c r="AE528">
        <v>0</v>
      </c>
      <c r="AF528">
        <v>3</v>
      </c>
      <c r="AG528">
        <v>2</v>
      </c>
      <c r="AH528">
        <v>0</v>
      </c>
      <c r="AI528" t="s">
        <v>628</v>
      </c>
      <c r="AJ528">
        <v>45.754559</v>
      </c>
      <c r="AK528" t="s">
        <v>629</v>
      </c>
      <c r="AL528">
        <v>-89.341442999999998</v>
      </c>
      <c r="AM528">
        <v>100</v>
      </c>
      <c r="AN528">
        <v>10400</v>
      </c>
      <c r="AO528" t="s">
        <v>118</v>
      </c>
      <c r="AP528">
        <v>120</v>
      </c>
      <c r="AQ528">
        <v>111</v>
      </c>
      <c r="AR528">
        <v>2048</v>
      </c>
      <c r="AZ528">
        <v>1200</v>
      </c>
      <c r="BA528">
        <v>1</v>
      </c>
      <c r="BB528" t="str">
        <f t="shared" si="27"/>
        <v xml:space="preserve">N690LS  </v>
      </c>
      <c r="BC528">
        <v>1</v>
      </c>
      <c r="BE528">
        <v>0</v>
      </c>
      <c r="BF528">
        <v>0</v>
      </c>
      <c r="BG528">
        <v>0</v>
      </c>
      <c r="BH528">
        <v>10700</v>
      </c>
      <c r="BI528">
        <v>1</v>
      </c>
      <c r="BJ528">
        <v>1</v>
      </c>
      <c r="BK528">
        <v>1</v>
      </c>
      <c r="BL528">
        <v>0</v>
      </c>
      <c r="BO528">
        <v>0</v>
      </c>
      <c r="BP528">
        <v>0</v>
      </c>
      <c r="BW528" t="str">
        <f>"13:54:52.700"</f>
        <v>13:54:52.700</v>
      </c>
      <c r="CJ528">
        <v>0</v>
      </c>
      <c r="CK528">
        <v>2</v>
      </c>
      <c r="CL528">
        <v>0</v>
      </c>
      <c r="CM528">
        <v>2</v>
      </c>
      <c r="CN528">
        <v>0</v>
      </c>
      <c r="CO528">
        <v>6</v>
      </c>
      <c r="CP528" t="s">
        <v>119</v>
      </c>
      <c r="CQ528">
        <v>209</v>
      </c>
      <c r="CR528">
        <v>3</v>
      </c>
      <c r="CW528">
        <v>7191447</v>
      </c>
      <c r="CY528">
        <v>1</v>
      </c>
      <c r="CZ528">
        <v>0</v>
      </c>
      <c r="DA528">
        <v>1</v>
      </c>
      <c r="DB528">
        <v>0</v>
      </c>
      <c r="DC528">
        <v>0</v>
      </c>
      <c r="DD528">
        <v>1</v>
      </c>
      <c r="DE528">
        <v>0</v>
      </c>
      <c r="DF528">
        <v>0</v>
      </c>
      <c r="DG528">
        <v>0</v>
      </c>
      <c r="DH528">
        <v>0</v>
      </c>
      <c r="DI528">
        <v>0</v>
      </c>
    </row>
    <row r="529" spans="1:113" x14ac:dyDescent="0.3">
      <c r="A529" t="str">
        <f>"09/28/2021 13:54:54.104"</f>
        <v>09/28/2021 13:54:54.104</v>
      </c>
      <c r="C529" t="str">
        <f t="shared" si="26"/>
        <v>FFDFD3C0</v>
      </c>
      <c r="D529" t="s">
        <v>120</v>
      </c>
      <c r="E529">
        <v>12</v>
      </c>
      <c r="F529">
        <v>1012</v>
      </c>
      <c r="G529" t="s">
        <v>114</v>
      </c>
      <c r="J529" t="s">
        <v>121</v>
      </c>
      <c r="K529">
        <v>0</v>
      </c>
      <c r="L529">
        <v>3</v>
      </c>
      <c r="M529">
        <v>0</v>
      </c>
      <c r="N529">
        <v>2</v>
      </c>
      <c r="O529">
        <v>1</v>
      </c>
      <c r="P529">
        <v>0</v>
      </c>
      <c r="Q529">
        <v>0</v>
      </c>
      <c r="S529" t="str">
        <f>"13:54:53.844"</f>
        <v>13:54:53.844</v>
      </c>
      <c r="T529" t="str">
        <f>"13:54:53.344"</f>
        <v>13:54:53.344</v>
      </c>
      <c r="U529" t="str">
        <f t="shared" si="28"/>
        <v>A92BC1</v>
      </c>
      <c r="V529">
        <v>0</v>
      </c>
      <c r="W529">
        <v>0</v>
      </c>
      <c r="X529">
        <v>2</v>
      </c>
      <c r="Z529">
        <v>0</v>
      </c>
      <c r="AA529">
        <v>9</v>
      </c>
      <c r="AB529">
        <v>3</v>
      </c>
      <c r="AC529">
        <v>0</v>
      </c>
      <c r="AD529">
        <v>10</v>
      </c>
      <c r="AE529">
        <v>0</v>
      </c>
      <c r="AF529">
        <v>3</v>
      </c>
      <c r="AG529">
        <v>2</v>
      </c>
      <c r="AH529">
        <v>0</v>
      </c>
      <c r="AI529" t="s">
        <v>630</v>
      </c>
      <c r="AJ529">
        <v>45.755223999999998</v>
      </c>
      <c r="AK529" t="s">
        <v>631</v>
      </c>
      <c r="AL529">
        <v>-89.340477000000007</v>
      </c>
      <c r="AM529">
        <v>100</v>
      </c>
      <c r="AN529">
        <v>10400</v>
      </c>
      <c r="AO529" t="s">
        <v>118</v>
      </c>
      <c r="AP529">
        <v>120</v>
      </c>
      <c r="AQ529">
        <v>111</v>
      </c>
      <c r="AR529">
        <v>2048</v>
      </c>
      <c r="AZ529">
        <v>1200</v>
      </c>
      <c r="BA529">
        <v>1</v>
      </c>
      <c r="BB529" t="str">
        <f t="shared" si="27"/>
        <v xml:space="preserve">N690LS  </v>
      </c>
      <c r="BC529">
        <v>1</v>
      </c>
      <c r="BE529">
        <v>0</v>
      </c>
      <c r="BF529">
        <v>0</v>
      </c>
      <c r="BG529">
        <v>0</v>
      </c>
      <c r="BH529">
        <v>10750</v>
      </c>
      <c r="BI529">
        <v>1</v>
      </c>
      <c r="BJ529">
        <v>1</v>
      </c>
      <c r="BK529">
        <v>1</v>
      </c>
      <c r="BL529">
        <v>0</v>
      </c>
      <c r="BO529">
        <v>0</v>
      </c>
      <c r="BP529">
        <v>0</v>
      </c>
      <c r="BW529" t="str">
        <f>"13:54:53.851"</f>
        <v>13:54:53.851</v>
      </c>
      <c r="CJ529">
        <v>0</v>
      </c>
      <c r="CK529">
        <v>2</v>
      </c>
      <c r="CL529">
        <v>0</v>
      </c>
      <c r="CM529">
        <v>2</v>
      </c>
      <c r="CN529">
        <v>0</v>
      </c>
      <c r="CO529">
        <v>6</v>
      </c>
      <c r="CP529" t="s">
        <v>119</v>
      </c>
      <c r="CQ529">
        <v>209</v>
      </c>
      <c r="CR529">
        <v>3</v>
      </c>
      <c r="CW529">
        <v>7191790</v>
      </c>
      <c r="CY529">
        <v>1</v>
      </c>
      <c r="CZ529">
        <v>0</v>
      </c>
      <c r="DA529">
        <v>0</v>
      </c>
      <c r="DB529">
        <v>0</v>
      </c>
      <c r="DC529">
        <v>0</v>
      </c>
      <c r="DD529">
        <v>1</v>
      </c>
      <c r="DE529">
        <v>0</v>
      </c>
      <c r="DF529">
        <v>0</v>
      </c>
      <c r="DG529">
        <v>0</v>
      </c>
      <c r="DH529">
        <v>0</v>
      </c>
      <c r="DI529">
        <v>0</v>
      </c>
    </row>
    <row r="530" spans="1:113" x14ac:dyDescent="0.3">
      <c r="A530" t="str">
        <f>"09/28/2021 13:54:54.104"</f>
        <v>09/28/2021 13:54:54.104</v>
      </c>
      <c r="C530" t="str">
        <f t="shared" si="26"/>
        <v>FFDFD3C0</v>
      </c>
      <c r="D530" t="s">
        <v>113</v>
      </c>
      <c r="E530">
        <v>7</v>
      </c>
      <c r="H530">
        <v>170</v>
      </c>
      <c r="I530" t="s">
        <v>114</v>
      </c>
      <c r="J530" t="s">
        <v>115</v>
      </c>
      <c r="K530">
        <v>0</v>
      </c>
      <c r="L530">
        <v>3</v>
      </c>
      <c r="M530">
        <v>0</v>
      </c>
      <c r="N530">
        <v>2</v>
      </c>
      <c r="O530">
        <v>1</v>
      </c>
      <c r="P530">
        <v>0</v>
      </c>
      <c r="Q530">
        <v>0</v>
      </c>
      <c r="S530" t="str">
        <f>"13:54:53.844"</f>
        <v>13:54:53.844</v>
      </c>
      <c r="T530" t="str">
        <f>"13:54:53.344"</f>
        <v>13:54:53.344</v>
      </c>
      <c r="U530" t="str">
        <f t="shared" si="28"/>
        <v>A92BC1</v>
      </c>
      <c r="V530">
        <v>0</v>
      </c>
      <c r="W530">
        <v>0</v>
      </c>
      <c r="X530">
        <v>2</v>
      </c>
      <c r="Z530">
        <v>0</v>
      </c>
      <c r="AA530">
        <v>9</v>
      </c>
      <c r="AB530">
        <v>3</v>
      </c>
      <c r="AC530">
        <v>0</v>
      </c>
      <c r="AD530">
        <v>10</v>
      </c>
      <c r="AE530">
        <v>0</v>
      </c>
      <c r="AF530">
        <v>3</v>
      </c>
      <c r="AG530">
        <v>2</v>
      </c>
      <c r="AH530">
        <v>0</v>
      </c>
      <c r="AI530" t="s">
        <v>630</v>
      </c>
      <c r="AJ530">
        <v>45.755223999999998</v>
      </c>
      <c r="AK530" t="s">
        <v>631</v>
      </c>
      <c r="AL530">
        <v>-89.340477000000007</v>
      </c>
      <c r="AM530">
        <v>100</v>
      </c>
      <c r="AN530">
        <v>10400</v>
      </c>
      <c r="AO530" t="s">
        <v>118</v>
      </c>
      <c r="AP530">
        <v>120</v>
      </c>
      <c r="AQ530">
        <v>111</v>
      </c>
      <c r="AR530">
        <v>2048</v>
      </c>
      <c r="AZ530">
        <v>1200</v>
      </c>
      <c r="BA530">
        <v>1</v>
      </c>
      <c r="BB530" t="str">
        <f t="shared" si="27"/>
        <v xml:space="preserve">N690LS  </v>
      </c>
      <c r="BC530">
        <v>1</v>
      </c>
      <c r="BE530">
        <v>0</v>
      </c>
      <c r="BF530">
        <v>0</v>
      </c>
      <c r="BG530">
        <v>0</v>
      </c>
      <c r="BH530">
        <v>10750</v>
      </c>
      <c r="BI530">
        <v>1</v>
      </c>
      <c r="BJ530">
        <v>1</v>
      </c>
      <c r="BK530">
        <v>1</v>
      </c>
      <c r="BL530">
        <v>0</v>
      </c>
      <c r="BO530">
        <v>0</v>
      </c>
      <c r="BP530">
        <v>0</v>
      </c>
      <c r="BW530" t="str">
        <f>"13:54:53.851"</f>
        <v>13:54:53.851</v>
      </c>
      <c r="CJ530">
        <v>0</v>
      </c>
      <c r="CK530">
        <v>2</v>
      </c>
      <c r="CL530">
        <v>0</v>
      </c>
      <c r="CM530">
        <v>2</v>
      </c>
      <c r="CN530">
        <v>0</v>
      </c>
      <c r="CO530">
        <v>6</v>
      </c>
      <c r="CP530" t="s">
        <v>119</v>
      </c>
      <c r="CQ530">
        <v>209</v>
      </c>
      <c r="CR530">
        <v>3</v>
      </c>
      <c r="CW530">
        <v>7191790</v>
      </c>
      <c r="CY530">
        <v>1</v>
      </c>
      <c r="CZ530">
        <v>0</v>
      </c>
      <c r="DA530">
        <v>1</v>
      </c>
      <c r="DB530">
        <v>0</v>
      </c>
      <c r="DC530">
        <v>0</v>
      </c>
      <c r="DD530">
        <v>1</v>
      </c>
      <c r="DE530">
        <v>0</v>
      </c>
      <c r="DF530">
        <v>0</v>
      </c>
      <c r="DG530">
        <v>0</v>
      </c>
      <c r="DH530">
        <v>0</v>
      </c>
      <c r="DI530">
        <v>0</v>
      </c>
    </row>
    <row r="531" spans="1:113" x14ac:dyDescent="0.3">
      <c r="A531" t="str">
        <f>"09/28/2021 13:54:55.089"</f>
        <v>09/28/2021 13:54:55.089</v>
      </c>
      <c r="C531" t="str">
        <f t="shared" si="26"/>
        <v>FFDFD3C0</v>
      </c>
      <c r="D531" t="s">
        <v>113</v>
      </c>
      <c r="E531">
        <v>7</v>
      </c>
      <c r="H531">
        <v>170</v>
      </c>
      <c r="I531" t="s">
        <v>114</v>
      </c>
      <c r="J531" t="s">
        <v>115</v>
      </c>
      <c r="K531">
        <v>0</v>
      </c>
      <c r="L531">
        <v>3</v>
      </c>
      <c r="M531">
        <v>0</v>
      </c>
      <c r="N531">
        <v>2</v>
      </c>
      <c r="O531">
        <v>1</v>
      </c>
      <c r="P531">
        <v>0</v>
      </c>
      <c r="Q531">
        <v>0</v>
      </c>
      <c r="S531" t="str">
        <f>"13:54:54.859"</f>
        <v>13:54:54.859</v>
      </c>
      <c r="T531" t="str">
        <f>"13:54:54.459"</f>
        <v>13:54:54.459</v>
      </c>
      <c r="U531" t="str">
        <f t="shared" si="28"/>
        <v>A92BC1</v>
      </c>
      <c r="V531">
        <v>0</v>
      </c>
      <c r="W531">
        <v>0</v>
      </c>
      <c r="X531">
        <v>2</v>
      </c>
      <c r="Z531">
        <v>0</v>
      </c>
      <c r="AA531">
        <v>9</v>
      </c>
      <c r="AB531">
        <v>3</v>
      </c>
      <c r="AC531">
        <v>0</v>
      </c>
      <c r="AD531">
        <v>10</v>
      </c>
      <c r="AE531">
        <v>0</v>
      </c>
      <c r="AF531">
        <v>3</v>
      </c>
      <c r="AG531">
        <v>2</v>
      </c>
      <c r="AH531">
        <v>0</v>
      </c>
      <c r="AI531" t="s">
        <v>632</v>
      </c>
      <c r="AJ531">
        <v>45.755738999999998</v>
      </c>
      <c r="AK531" t="s">
        <v>633</v>
      </c>
      <c r="AL531">
        <v>-89.339662000000004</v>
      </c>
      <c r="AM531">
        <v>100</v>
      </c>
      <c r="AN531">
        <v>10500</v>
      </c>
      <c r="AO531" t="s">
        <v>118</v>
      </c>
      <c r="AP531">
        <v>120</v>
      </c>
      <c r="AQ531">
        <v>111</v>
      </c>
      <c r="AR531">
        <v>2048</v>
      </c>
      <c r="AZ531">
        <v>1200</v>
      </c>
      <c r="BA531">
        <v>1</v>
      </c>
      <c r="BB531" t="str">
        <f t="shared" si="27"/>
        <v xml:space="preserve">N690LS  </v>
      </c>
      <c r="BC531">
        <v>1</v>
      </c>
      <c r="BE531">
        <v>0</v>
      </c>
      <c r="BF531">
        <v>0</v>
      </c>
      <c r="BG531">
        <v>0</v>
      </c>
      <c r="BH531">
        <v>10775</v>
      </c>
      <c r="BI531">
        <v>1</v>
      </c>
      <c r="BJ531">
        <v>1</v>
      </c>
      <c r="BK531">
        <v>1</v>
      </c>
      <c r="BL531">
        <v>0</v>
      </c>
      <c r="BO531">
        <v>0</v>
      </c>
      <c r="BP531">
        <v>0</v>
      </c>
      <c r="BW531" t="str">
        <f>"13:54:54.866"</f>
        <v>13:54:54.866</v>
      </c>
      <c r="CJ531">
        <v>0</v>
      </c>
      <c r="CK531">
        <v>2</v>
      </c>
      <c r="CL531">
        <v>0</v>
      </c>
      <c r="CM531">
        <v>2</v>
      </c>
      <c r="CN531">
        <v>0</v>
      </c>
      <c r="CO531">
        <v>6</v>
      </c>
      <c r="CP531" t="s">
        <v>119</v>
      </c>
      <c r="CQ531">
        <v>209</v>
      </c>
      <c r="CR531">
        <v>3</v>
      </c>
      <c r="CW531">
        <v>7192120</v>
      </c>
      <c r="CY531">
        <v>1</v>
      </c>
      <c r="CZ531">
        <v>0</v>
      </c>
      <c r="DA531">
        <v>0</v>
      </c>
      <c r="DB531">
        <v>0</v>
      </c>
      <c r="DC531">
        <v>0</v>
      </c>
      <c r="DD531">
        <v>1</v>
      </c>
      <c r="DE531">
        <v>0</v>
      </c>
      <c r="DF531">
        <v>0</v>
      </c>
      <c r="DG531">
        <v>0</v>
      </c>
      <c r="DH531">
        <v>0</v>
      </c>
      <c r="DI531">
        <v>0</v>
      </c>
    </row>
    <row r="532" spans="1:113" x14ac:dyDescent="0.3">
      <c r="A532" t="str">
        <f>"09/28/2021 13:54:55.245"</f>
        <v>09/28/2021 13:54:55.245</v>
      </c>
      <c r="C532" t="str">
        <f t="shared" si="26"/>
        <v>FFDFD3C0</v>
      </c>
      <c r="D532" t="s">
        <v>120</v>
      </c>
      <c r="E532">
        <v>12</v>
      </c>
      <c r="F532">
        <v>1012</v>
      </c>
      <c r="G532" t="s">
        <v>114</v>
      </c>
      <c r="J532" t="s">
        <v>121</v>
      </c>
      <c r="K532">
        <v>0</v>
      </c>
      <c r="L532">
        <v>3</v>
      </c>
      <c r="M532">
        <v>0</v>
      </c>
      <c r="N532">
        <v>2</v>
      </c>
      <c r="O532">
        <v>1</v>
      </c>
      <c r="P532">
        <v>0</v>
      </c>
      <c r="Q532">
        <v>0</v>
      </c>
      <c r="S532" t="str">
        <f>"13:54:54.859"</f>
        <v>13:54:54.859</v>
      </c>
      <c r="T532" t="str">
        <f>"13:54:54.459"</f>
        <v>13:54:54.459</v>
      </c>
      <c r="U532" t="str">
        <f t="shared" si="28"/>
        <v>A92BC1</v>
      </c>
      <c r="V532">
        <v>0</v>
      </c>
      <c r="W532">
        <v>0</v>
      </c>
      <c r="X532">
        <v>2</v>
      </c>
      <c r="Z532">
        <v>0</v>
      </c>
      <c r="AA532">
        <v>9</v>
      </c>
      <c r="AB532">
        <v>3</v>
      </c>
      <c r="AC532">
        <v>0</v>
      </c>
      <c r="AD532">
        <v>10</v>
      </c>
      <c r="AE532">
        <v>0</v>
      </c>
      <c r="AF532">
        <v>3</v>
      </c>
      <c r="AG532">
        <v>2</v>
      </c>
      <c r="AH532">
        <v>0</v>
      </c>
      <c r="AI532" t="s">
        <v>632</v>
      </c>
      <c r="AJ532">
        <v>45.755738999999998</v>
      </c>
      <c r="AK532" t="s">
        <v>633</v>
      </c>
      <c r="AL532">
        <v>-89.339662000000004</v>
      </c>
      <c r="AM532">
        <v>100</v>
      </c>
      <c r="AN532">
        <v>10500</v>
      </c>
      <c r="AO532" t="s">
        <v>118</v>
      </c>
      <c r="AP532">
        <v>120</v>
      </c>
      <c r="AQ532">
        <v>111</v>
      </c>
      <c r="AR532">
        <v>2048</v>
      </c>
      <c r="AZ532">
        <v>1200</v>
      </c>
      <c r="BA532">
        <v>1</v>
      </c>
      <c r="BB532" t="str">
        <f t="shared" si="27"/>
        <v xml:space="preserve">N690LS  </v>
      </c>
      <c r="BC532">
        <v>1</v>
      </c>
      <c r="BE532">
        <v>0</v>
      </c>
      <c r="BF532">
        <v>0</v>
      </c>
      <c r="BG532">
        <v>0</v>
      </c>
      <c r="BH532">
        <v>10775</v>
      </c>
      <c r="BI532">
        <v>1</v>
      </c>
      <c r="BJ532">
        <v>1</v>
      </c>
      <c r="BK532">
        <v>1</v>
      </c>
      <c r="BL532">
        <v>0</v>
      </c>
      <c r="BO532">
        <v>0</v>
      </c>
      <c r="BP532">
        <v>0</v>
      </c>
      <c r="BW532" t="str">
        <f>"13:54:54.866"</f>
        <v>13:54:54.866</v>
      </c>
      <c r="CJ532">
        <v>0</v>
      </c>
      <c r="CK532">
        <v>2</v>
      </c>
      <c r="CL532">
        <v>0</v>
      </c>
      <c r="CM532">
        <v>2</v>
      </c>
      <c r="CN532">
        <v>0</v>
      </c>
      <c r="CO532">
        <v>6</v>
      </c>
      <c r="CP532" t="s">
        <v>119</v>
      </c>
      <c r="CQ532">
        <v>209</v>
      </c>
      <c r="CR532">
        <v>3</v>
      </c>
      <c r="CW532">
        <v>7192120</v>
      </c>
      <c r="CY532">
        <v>1</v>
      </c>
      <c r="CZ532">
        <v>0</v>
      </c>
      <c r="DA532">
        <v>1</v>
      </c>
      <c r="DB532">
        <v>0</v>
      </c>
      <c r="DC532">
        <v>0</v>
      </c>
      <c r="DD532">
        <v>1</v>
      </c>
      <c r="DE532">
        <v>0</v>
      </c>
      <c r="DF532">
        <v>0</v>
      </c>
      <c r="DG532">
        <v>0</v>
      </c>
      <c r="DH532">
        <v>0</v>
      </c>
      <c r="DI532">
        <v>0</v>
      </c>
    </row>
    <row r="533" spans="1:113" x14ac:dyDescent="0.3">
      <c r="A533" t="str">
        <f>"09/28/2021 13:54:56.136"</f>
        <v>09/28/2021 13:54:56.136</v>
      </c>
      <c r="C533" t="str">
        <f t="shared" si="26"/>
        <v>FFDFD3C0</v>
      </c>
      <c r="D533" t="s">
        <v>120</v>
      </c>
      <c r="E533">
        <v>12</v>
      </c>
      <c r="F533">
        <v>1012</v>
      </c>
      <c r="G533" t="s">
        <v>114</v>
      </c>
      <c r="J533" t="s">
        <v>121</v>
      </c>
      <c r="K533">
        <v>0</v>
      </c>
      <c r="L533">
        <v>3</v>
      </c>
      <c r="M533">
        <v>0</v>
      </c>
      <c r="N533">
        <v>2</v>
      </c>
      <c r="O533">
        <v>1</v>
      </c>
      <c r="P533">
        <v>0</v>
      </c>
      <c r="Q533">
        <v>0</v>
      </c>
      <c r="S533" t="str">
        <f>"13:54:55.930"</f>
        <v>13:54:55.930</v>
      </c>
      <c r="T533" t="str">
        <f>"13:54:55.430"</f>
        <v>13:54:55.430</v>
      </c>
      <c r="U533" t="str">
        <f t="shared" si="28"/>
        <v>A92BC1</v>
      </c>
      <c r="V533">
        <v>0</v>
      </c>
      <c r="W533">
        <v>0</v>
      </c>
      <c r="X533">
        <v>2</v>
      </c>
      <c r="Z533">
        <v>0</v>
      </c>
      <c r="AA533">
        <v>9</v>
      </c>
      <c r="AB533">
        <v>3</v>
      </c>
      <c r="AC533">
        <v>0</v>
      </c>
      <c r="AD533">
        <v>10</v>
      </c>
      <c r="AE533">
        <v>0</v>
      </c>
      <c r="AF533">
        <v>3</v>
      </c>
      <c r="AG533">
        <v>2</v>
      </c>
      <c r="AH533">
        <v>0</v>
      </c>
      <c r="AI533" t="s">
        <v>634</v>
      </c>
      <c r="AJ533">
        <v>45.756276</v>
      </c>
      <c r="AK533" t="s">
        <v>635</v>
      </c>
      <c r="AL533">
        <v>-89.338802999999999</v>
      </c>
      <c r="AM533">
        <v>100</v>
      </c>
      <c r="AN533">
        <v>10500</v>
      </c>
      <c r="AO533" t="s">
        <v>118</v>
      </c>
      <c r="AP533">
        <v>120</v>
      </c>
      <c r="AQ533">
        <v>111</v>
      </c>
      <c r="AR533">
        <v>2048</v>
      </c>
      <c r="AZ533">
        <v>1200</v>
      </c>
      <c r="BA533">
        <v>1</v>
      </c>
      <c r="BB533" t="str">
        <f t="shared" si="27"/>
        <v xml:space="preserve">N690LS  </v>
      </c>
      <c r="BC533">
        <v>1</v>
      </c>
      <c r="BE533">
        <v>0</v>
      </c>
      <c r="BF533">
        <v>0</v>
      </c>
      <c r="BG533">
        <v>0</v>
      </c>
      <c r="BH533">
        <v>10800</v>
      </c>
      <c r="BI533">
        <v>1</v>
      </c>
      <c r="BJ533">
        <v>1</v>
      </c>
      <c r="BK533">
        <v>1</v>
      </c>
      <c r="BL533">
        <v>0</v>
      </c>
      <c r="BO533">
        <v>0</v>
      </c>
      <c r="BP533">
        <v>0</v>
      </c>
      <c r="BW533" t="str">
        <f>"13:54:55.936"</f>
        <v>13:54:55.936</v>
      </c>
      <c r="CJ533">
        <v>0</v>
      </c>
      <c r="CK533">
        <v>2</v>
      </c>
      <c r="CL533">
        <v>0</v>
      </c>
      <c r="CM533">
        <v>2</v>
      </c>
      <c r="CN533">
        <v>0</v>
      </c>
      <c r="CO533">
        <v>6</v>
      </c>
      <c r="CP533" t="s">
        <v>119</v>
      </c>
      <c r="CQ533">
        <v>209</v>
      </c>
      <c r="CR533">
        <v>3</v>
      </c>
      <c r="CW533">
        <v>7192441</v>
      </c>
      <c r="CY533">
        <v>1</v>
      </c>
      <c r="CZ533">
        <v>0</v>
      </c>
      <c r="DA533">
        <v>0</v>
      </c>
      <c r="DB533">
        <v>0</v>
      </c>
      <c r="DC533">
        <v>0</v>
      </c>
      <c r="DD533">
        <v>1</v>
      </c>
      <c r="DE533">
        <v>0</v>
      </c>
      <c r="DF533">
        <v>0</v>
      </c>
      <c r="DG533">
        <v>0</v>
      </c>
      <c r="DH533">
        <v>0</v>
      </c>
      <c r="DI533">
        <v>0</v>
      </c>
    </row>
    <row r="534" spans="1:113" x14ac:dyDescent="0.3">
      <c r="A534" t="str">
        <f>"09/28/2021 13:54:56.136"</f>
        <v>09/28/2021 13:54:56.136</v>
      </c>
      <c r="C534" t="str">
        <f t="shared" si="26"/>
        <v>FFDFD3C0</v>
      </c>
      <c r="D534" t="s">
        <v>113</v>
      </c>
      <c r="E534">
        <v>7</v>
      </c>
      <c r="H534">
        <v>170</v>
      </c>
      <c r="I534" t="s">
        <v>114</v>
      </c>
      <c r="J534" t="s">
        <v>115</v>
      </c>
      <c r="K534">
        <v>0</v>
      </c>
      <c r="L534">
        <v>3</v>
      </c>
      <c r="M534">
        <v>0</v>
      </c>
      <c r="N534">
        <v>2</v>
      </c>
      <c r="O534">
        <v>1</v>
      </c>
      <c r="P534">
        <v>0</v>
      </c>
      <c r="Q534">
        <v>0</v>
      </c>
      <c r="S534" t="str">
        <f>"13:54:55.930"</f>
        <v>13:54:55.930</v>
      </c>
      <c r="T534" t="str">
        <f>"13:54:55.430"</f>
        <v>13:54:55.430</v>
      </c>
      <c r="U534" t="str">
        <f t="shared" si="28"/>
        <v>A92BC1</v>
      </c>
      <c r="V534">
        <v>0</v>
      </c>
      <c r="W534">
        <v>0</v>
      </c>
      <c r="X534">
        <v>2</v>
      </c>
      <c r="Z534">
        <v>0</v>
      </c>
      <c r="AA534">
        <v>9</v>
      </c>
      <c r="AB534">
        <v>3</v>
      </c>
      <c r="AC534">
        <v>0</v>
      </c>
      <c r="AD534">
        <v>10</v>
      </c>
      <c r="AE534">
        <v>0</v>
      </c>
      <c r="AF534">
        <v>3</v>
      </c>
      <c r="AG534">
        <v>2</v>
      </c>
      <c r="AH534">
        <v>0</v>
      </c>
      <c r="AI534" t="s">
        <v>634</v>
      </c>
      <c r="AJ534">
        <v>45.756276</v>
      </c>
      <c r="AK534" t="s">
        <v>635</v>
      </c>
      <c r="AL534">
        <v>-89.338802999999999</v>
      </c>
      <c r="AM534">
        <v>100</v>
      </c>
      <c r="AN534">
        <v>10500</v>
      </c>
      <c r="AO534" t="s">
        <v>118</v>
      </c>
      <c r="AP534">
        <v>120</v>
      </c>
      <c r="AQ534">
        <v>111</v>
      </c>
      <c r="AR534">
        <v>2048</v>
      </c>
      <c r="AZ534">
        <v>1200</v>
      </c>
      <c r="BA534">
        <v>1</v>
      </c>
      <c r="BB534" t="str">
        <f t="shared" si="27"/>
        <v xml:space="preserve">N690LS  </v>
      </c>
      <c r="BC534">
        <v>1</v>
      </c>
      <c r="BE534">
        <v>0</v>
      </c>
      <c r="BF534">
        <v>0</v>
      </c>
      <c r="BG534">
        <v>0</v>
      </c>
      <c r="BH534">
        <v>10800</v>
      </c>
      <c r="BI534">
        <v>1</v>
      </c>
      <c r="BJ534">
        <v>1</v>
      </c>
      <c r="BK534">
        <v>1</v>
      </c>
      <c r="BL534">
        <v>0</v>
      </c>
      <c r="BO534">
        <v>0</v>
      </c>
      <c r="BP534">
        <v>0</v>
      </c>
      <c r="BW534" t="str">
        <f>"13:54:55.936"</f>
        <v>13:54:55.936</v>
      </c>
      <c r="CJ534">
        <v>0</v>
      </c>
      <c r="CK534">
        <v>2</v>
      </c>
      <c r="CL534">
        <v>0</v>
      </c>
      <c r="CM534">
        <v>2</v>
      </c>
      <c r="CN534">
        <v>0</v>
      </c>
      <c r="CO534">
        <v>6</v>
      </c>
      <c r="CP534" t="s">
        <v>119</v>
      </c>
      <c r="CQ534">
        <v>209</v>
      </c>
      <c r="CR534">
        <v>3</v>
      </c>
      <c r="CW534">
        <v>7192441</v>
      </c>
      <c r="CY534">
        <v>1</v>
      </c>
      <c r="CZ534">
        <v>0</v>
      </c>
      <c r="DA534">
        <v>1</v>
      </c>
      <c r="DB534">
        <v>0</v>
      </c>
      <c r="DC534">
        <v>0</v>
      </c>
      <c r="DD534">
        <v>1</v>
      </c>
      <c r="DE534">
        <v>0</v>
      </c>
      <c r="DF534">
        <v>0</v>
      </c>
      <c r="DG534">
        <v>0</v>
      </c>
      <c r="DH534">
        <v>0</v>
      </c>
      <c r="DI534">
        <v>0</v>
      </c>
    </row>
    <row r="535" spans="1:113" x14ac:dyDescent="0.3">
      <c r="A535" t="str">
        <f>"09/28/2021 13:54:57.073"</f>
        <v>09/28/2021 13:54:57.073</v>
      </c>
      <c r="C535" t="str">
        <f t="shared" si="26"/>
        <v>FFDFD3C0</v>
      </c>
      <c r="D535" t="s">
        <v>113</v>
      </c>
      <c r="E535">
        <v>7</v>
      </c>
      <c r="H535">
        <v>170</v>
      </c>
      <c r="I535" t="s">
        <v>114</v>
      </c>
      <c r="J535" t="s">
        <v>115</v>
      </c>
      <c r="K535">
        <v>0</v>
      </c>
      <c r="L535">
        <v>3</v>
      </c>
      <c r="M535">
        <v>0</v>
      </c>
      <c r="N535">
        <v>2</v>
      </c>
      <c r="O535">
        <v>1</v>
      </c>
      <c r="P535">
        <v>0</v>
      </c>
      <c r="Q535">
        <v>0</v>
      </c>
      <c r="S535" t="str">
        <f>"13:54:56.875"</f>
        <v>13:54:56.875</v>
      </c>
      <c r="T535" t="str">
        <f>"13:54:56.475"</f>
        <v>13:54:56.475</v>
      </c>
      <c r="U535" t="str">
        <f t="shared" si="28"/>
        <v>A92BC1</v>
      </c>
      <c r="V535">
        <v>0</v>
      </c>
      <c r="W535">
        <v>0</v>
      </c>
      <c r="X535">
        <v>2</v>
      </c>
      <c r="Z535">
        <v>0</v>
      </c>
      <c r="AA535">
        <v>9</v>
      </c>
      <c r="AB535">
        <v>3</v>
      </c>
      <c r="AC535">
        <v>0</v>
      </c>
      <c r="AD535">
        <v>10</v>
      </c>
      <c r="AE535">
        <v>0</v>
      </c>
      <c r="AF535">
        <v>3</v>
      </c>
      <c r="AG535">
        <v>2</v>
      </c>
      <c r="AH535">
        <v>0</v>
      </c>
      <c r="AI535" t="s">
        <v>636</v>
      </c>
      <c r="AJ535">
        <v>45.756748000000002</v>
      </c>
      <c r="AK535" t="s">
        <v>637</v>
      </c>
      <c r="AL535">
        <v>-89.338074000000006</v>
      </c>
      <c r="AM535">
        <v>100</v>
      </c>
      <c r="AN535">
        <v>10500</v>
      </c>
      <c r="AO535" t="s">
        <v>118</v>
      </c>
      <c r="AP535">
        <v>120</v>
      </c>
      <c r="AQ535">
        <v>110</v>
      </c>
      <c r="AR535">
        <v>1984</v>
      </c>
      <c r="AZ535">
        <v>1200</v>
      </c>
      <c r="BA535">
        <v>1</v>
      </c>
      <c r="BB535" t="str">
        <f t="shared" si="27"/>
        <v xml:space="preserve">N690LS  </v>
      </c>
      <c r="BC535">
        <v>1</v>
      </c>
      <c r="BE535">
        <v>0</v>
      </c>
      <c r="BF535">
        <v>0</v>
      </c>
      <c r="BG535">
        <v>0</v>
      </c>
      <c r="BH535">
        <v>10850</v>
      </c>
      <c r="BI535">
        <v>1</v>
      </c>
      <c r="BJ535">
        <v>1</v>
      </c>
      <c r="BK535">
        <v>1</v>
      </c>
      <c r="BL535">
        <v>0</v>
      </c>
      <c r="BO535">
        <v>0</v>
      </c>
      <c r="BP535">
        <v>0</v>
      </c>
      <c r="BW535" t="str">
        <f>"13:54:56.877"</f>
        <v>13:54:56.877</v>
      </c>
      <c r="CJ535">
        <v>0</v>
      </c>
      <c r="CK535">
        <v>2</v>
      </c>
      <c r="CL535">
        <v>0</v>
      </c>
      <c r="CM535">
        <v>2</v>
      </c>
      <c r="CN535">
        <v>0</v>
      </c>
      <c r="CO535">
        <v>6</v>
      </c>
      <c r="CP535" t="s">
        <v>119</v>
      </c>
      <c r="CQ535">
        <v>209</v>
      </c>
      <c r="CR535">
        <v>3</v>
      </c>
      <c r="CW535">
        <v>7192701</v>
      </c>
      <c r="CY535">
        <v>1</v>
      </c>
      <c r="CZ535">
        <v>0</v>
      </c>
      <c r="DA535">
        <v>0</v>
      </c>
      <c r="DB535">
        <v>0</v>
      </c>
      <c r="DC535">
        <v>0</v>
      </c>
      <c r="DD535">
        <v>1</v>
      </c>
      <c r="DE535">
        <v>0</v>
      </c>
      <c r="DF535">
        <v>0</v>
      </c>
      <c r="DG535">
        <v>0</v>
      </c>
      <c r="DH535">
        <v>0</v>
      </c>
      <c r="DI535">
        <v>0</v>
      </c>
    </row>
    <row r="536" spans="1:113" x14ac:dyDescent="0.3">
      <c r="A536" t="str">
        <f>"09/28/2021 13:54:57.167"</f>
        <v>09/28/2021 13:54:57.167</v>
      </c>
      <c r="C536" t="str">
        <f t="shared" si="26"/>
        <v>FFDFD3C0</v>
      </c>
      <c r="D536" t="s">
        <v>120</v>
      </c>
      <c r="E536">
        <v>12</v>
      </c>
      <c r="F536">
        <v>1012</v>
      </c>
      <c r="G536" t="s">
        <v>114</v>
      </c>
      <c r="J536" t="s">
        <v>121</v>
      </c>
      <c r="K536">
        <v>0</v>
      </c>
      <c r="L536">
        <v>3</v>
      </c>
      <c r="M536">
        <v>0</v>
      </c>
      <c r="N536">
        <v>2</v>
      </c>
      <c r="O536">
        <v>1</v>
      </c>
      <c r="P536">
        <v>0</v>
      </c>
      <c r="Q536">
        <v>0</v>
      </c>
      <c r="S536" t="str">
        <f>"13:54:56.875"</f>
        <v>13:54:56.875</v>
      </c>
      <c r="T536" t="str">
        <f>"13:54:56.475"</f>
        <v>13:54:56.475</v>
      </c>
      <c r="U536" t="str">
        <f t="shared" si="28"/>
        <v>A92BC1</v>
      </c>
      <c r="V536">
        <v>0</v>
      </c>
      <c r="W536">
        <v>0</v>
      </c>
      <c r="X536">
        <v>2</v>
      </c>
      <c r="Z536">
        <v>0</v>
      </c>
      <c r="AA536">
        <v>9</v>
      </c>
      <c r="AB536">
        <v>3</v>
      </c>
      <c r="AC536">
        <v>0</v>
      </c>
      <c r="AD536">
        <v>10</v>
      </c>
      <c r="AE536">
        <v>0</v>
      </c>
      <c r="AF536">
        <v>3</v>
      </c>
      <c r="AG536">
        <v>2</v>
      </c>
      <c r="AH536">
        <v>0</v>
      </c>
      <c r="AI536" t="s">
        <v>636</v>
      </c>
      <c r="AJ536">
        <v>45.756748000000002</v>
      </c>
      <c r="AK536" t="s">
        <v>637</v>
      </c>
      <c r="AL536">
        <v>-89.338074000000006</v>
      </c>
      <c r="AM536">
        <v>100</v>
      </c>
      <c r="AN536">
        <v>10500</v>
      </c>
      <c r="AO536" t="s">
        <v>118</v>
      </c>
      <c r="AP536">
        <v>120</v>
      </c>
      <c r="AQ536">
        <v>110</v>
      </c>
      <c r="AR536">
        <v>1984</v>
      </c>
      <c r="AZ536">
        <v>1200</v>
      </c>
      <c r="BA536">
        <v>1</v>
      </c>
      <c r="BB536" t="str">
        <f t="shared" si="27"/>
        <v xml:space="preserve">N690LS  </v>
      </c>
      <c r="BC536">
        <v>1</v>
      </c>
      <c r="BE536">
        <v>0</v>
      </c>
      <c r="BF536">
        <v>0</v>
      </c>
      <c r="BG536">
        <v>0</v>
      </c>
      <c r="BH536">
        <v>10850</v>
      </c>
      <c r="BI536">
        <v>1</v>
      </c>
      <c r="BJ536">
        <v>1</v>
      </c>
      <c r="BK536">
        <v>1</v>
      </c>
      <c r="BL536">
        <v>0</v>
      </c>
      <c r="BO536">
        <v>0</v>
      </c>
      <c r="BP536">
        <v>0</v>
      </c>
      <c r="BW536" t="str">
        <f>"13:54:56.877"</f>
        <v>13:54:56.877</v>
      </c>
      <c r="CJ536">
        <v>0</v>
      </c>
      <c r="CK536">
        <v>2</v>
      </c>
      <c r="CL536">
        <v>0</v>
      </c>
      <c r="CM536">
        <v>2</v>
      </c>
      <c r="CN536">
        <v>0</v>
      </c>
      <c r="CO536">
        <v>6</v>
      </c>
      <c r="CP536" t="s">
        <v>119</v>
      </c>
      <c r="CQ536">
        <v>209</v>
      </c>
      <c r="CR536">
        <v>3</v>
      </c>
      <c r="CW536">
        <v>7192701</v>
      </c>
      <c r="CY536">
        <v>1</v>
      </c>
      <c r="CZ536">
        <v>0</v>
      </c>
      <c r="DA536">
        <v>1</v>
      </c>
      <c r="DB536">
        <v>0</v>
      </c>
      <c r="DC536">
        <v>0</v>
      </c>
      <c r="DD536">
        <v>1</v>
      </c>
      <c r="DE536">
        <v>0</v>
      </c>
      <c r="DF536">
        <v>0</v>
      </c>
      <c r="DG536">
        <v>0</v>
      </c>
      <c r="DH536">
        <v>0</v>
      </c>
      <c r="DI536">
        <v>0</v>
      </c>
    </row>
    <row r="537" spans="1:113" x14ac:dyDescent="0.3">
      <c r="A537" t="str">
        <f>"09/28/2021 13:54:57.948"</f>
        <v>09/28/2021 13:54:57.948</v>
      </c>
      <c r="C537" t="str">
        <f t="shared" si="26"/>
        <v>FFDFD3C0</v>
      </c>
      <c r="D537" t="s">
        <v>120</v>
      </c>
      <c r="E537">
        <v>12</v>
      </c>
      <c r="F537">
        <v>1012</v>
      </c>
      <c r="G537" t="s">
        <v>114</v>
      </c>
      <c r="J537" t="s">
        <v>121</v>
      </c>
      <c r="K537">
        <v>0</v>
      </c>
      <c r="L537">
        <v>3</v>
      </c>
      <c r="M537">
        <v>0</v>
      </c>
      <c r="N537">
        <v>2</v>
      </c>
      <c r="O537">
        <v>1</v>
      </c>
      <c r="P537">
        <v>0</v>
      </c>
      <c r="Q537">
        <v>0</v>
      </c>
      <c r="S537" t="str">
        <f>"13:54:57.703"</f>
        <v>13:54:57.703</v>
      </c>
      <c r="T537" t="str">
        <f>"13:54:57.303"</f>
        <v>13:54:57.303</v>
      </c>
      <c r="U537" t="str">
        <f t="shared" si="28"/>
        <v>A92BC1</v>
      </c>
      <c r="V537">
        <v>0</v>
      </c>
      <c r="W537">
        <v>0</v>
      </c>
      <c r="X537">
        <v>2</v>
      </c>
      <c r="Z537">
        <v>0</v>
      </c>
      <c r="AA537">
        <v>9</v>
      </c>
      <c r="AB537">
        <v>3</v>
      </c>
      <c r="AC537">
        <v>0</v>
      </c>
      <c r="AD537">
        <v>10</v>
      </c>
      <c r="AE537">
        <v>0</v>
      </c>
      <c r="AF537">
        <v>3</v>
      </c>
      <c r="AG537">
        <v>2</v>
      </c>
      <c r="AH537">
        <v>0</v>
      </c>
      <c r="AI537" t="s">
        <v>638</v>
      </c>
      <c r="AJ537">
        <v>45.757134000000001</v>
      </c>
      <c r="AK537" t="s">
        <v>639</v>
      </c>
      <c r="AL537">
        <v>-89.337451000000001</v>
      </c>
      <c r="AM537">
        <v>100</v>
      </c>
      <c r="AN537">
        <v>10500</v>
      </c>
      <c r="AO537" t="s">
        <v>118</v>
      </c>
      <c r="AP537">
        <v>120</v>
      </c>
      <c r="AQ537">
        <v>110</v>
      </c>
      <c r="AR537">
        <v>2048</v>
      </c>
      <c r="AZ537">
        <v>1200</v>
      </c>
      <c r="BA537">
        <v>1</v>
      </c>
      <c r="BB537" t="str">
        <f t="shared" si="27"/>
        <v xml:space="preserve">N690LS  </v>
      </c>
      <c r="BC537">
        <v>1</v>
      </c>
      <c r="BE537">
        <v>0</v>
      </c>
      <c r="BF537">
        <v>0</v>
      </c>
      <c r="BG537">
        <v>0</v>
      </c>
      <c r="BH537">
        <v>10875</v>
      </c>
      <c r="BI537">
        <v>1</v>
      </c>
      <c r="BJ537">
        <v>1</v>
      </c>
      <c r="BK537">
        <v>1</v>
      </c>
      <c r="BL537">
        <v>0</v>
      </c>
      <c r="BO537">
        <v>0</v>
      </c>
      <c r="BP537">
        <v>0</v>
      </c>
      <c r="BW537" t="str">
        <f>"13:54:57.709"</f>
        <v>13:54:57.709</v>
      </c>
      <c r="CJ537">
        <v>0</v>
      </c>
      <c r="CK537">
        <v>2</v>
      </c>
      <c r="CL537">
        <v>0</v>
      </c>
      <c r="CM537">
        <v>2</v>
      </c>
      <c r="CN537">
        <v>0</v>
      </c>
      <c r="CO537">
        <v>7</v>
      </c>
      <c r="CP537" t="s">
        <v>119</v>
      </c>
      <c r="CQ537">
        <v>197</v>
      </c>
      <c r="CR537">
        <v>2</v>
      </c>
      <c r="CW537">
        <v>2328820</v>
      </c>
      <c r="CY537">
        <v>1</v>
      </c>
      <c r="CZ537">
        <v>0</v>
      </c>
      <c r="DA537">
        <v>0</v>
      </c>
      <c r="DB537">
        <v>0</v>
      </c>
      <c r="DC537">
        <v>0</v>
      </c>
      <c r="DD537">
        <v>1</v>
      </c>
      <c r="DE537">
        <v>0</v>
      </c>
      <c r="DF537">
        <v>0</v>
      </c>
      <c r="DG537">
        <v>0</v>
      </c>
      <c r="DH537">
        <v>0</v>
      </c>
      <c r="DI537">
        <v>0</v>
      </c>
    </row>
    <row r="538" spans="1:113" x14ac:dyDescent="0.3">
      <c r="A538" t="str">
        <f>"09/28/2021 13:54:57.979"</f>
        <v>09/28/2021 13:54:57.979</v>
      </c>
      <c r="C538" t="str">
        <f t="shared" si="26"/>
        <v>FFDFD3C0</v>
      </c>
      <c r="D538" t="s">
        <v>113</v>
      </c>
      <c r="E538">
        <v>7</v>
      </c>
      <c r="H538">
        <v>170</v>
      </c>
      <c r="I538" t="s">
        <v>114</v>
      </c>
      <c r="J538" t="s">
        <v>115</v>
      </c>
      <c r="K538">
        <v>0</v>
      </c>
      <c r="L538">
        <v>3</v>
      </c>
      <c r="M538">
        <v>0</v>
      </c>
      <c r="N538">
        <v>2</v>
      </c>
      <c r="O538">
        <v>1</v>
      </c>
      <c r="P538">
        <v>0</v>
      </c>
      <c r="Q538">
        <v>0</v>
      </c>
      <c r="S538" t="str">
        <f>"13:54:57.703"</f>
        <v>13:54:57.703</v>
      </c>
      <c r="T538" t="str">
        <f>"13:54:57.303"</f>
        <v>13:54:57.303</v>
      </c>
      <c r="U538" t="str">
        <f t="shared" si="28"/>
        <v>A92BC1</v>
      </c>
      <c r="V538">
        <v>0</v>
      </c>
      <c r="W538">
        <v>0</v>
      </c>
      <c r="X538">
        <v>2</v>
      </c>
      <c r="Z538">
        <v>0</v>
      </c>
      <c r="AA538">
        <v>9</v>
      </c>
      <c r="AB538">
        <v>3</v>
      </c>
      <c r="AC538">
        <v>0</v>
      </c>
      <c r="AD538">
        <v>10</v>
      </c>
      <c r="AE538">
        <v>0</v>
      </c>
      <c r="AF538">
        <v>3</v>
      </c>
      <c r="AG538">
        <v>2</v>
      </c>
      <c r="AH538">
        <v>0</v>
      </c>
      <c r="AI538" t="s">
        <v>638</v>
      </c>
      <c r="AJ538">
        <v>45.757134000000001</v>
      </c>
      <c r="AK538" t="s">
        <v>639</v>
      </c>
      <c r="AL538">
        <v>-89.337451000000001</v>
      </c>
      <c r="AM538">
        <v>100</v>
      </c>
      <c r="AN538">
        <v>10500</v>
      </c>
      <c r="AO538" t="s">
        <v>118</v>
      </c>
      <c r="AP538">
        <v>120</v>
      </c>
      <c r="AQ538">
        <v>110</v>
      </c>
      <c r="AR538">
        <v>2048</v>
      </c>
      <c r="AZ538">
        <v>1200</v>
      </c>
      <c r="BA538">
        <v>1</v>
      </c>
      <c r="BB538" t="str">
        <f t="shared" si="27"/>
        <v xml:space="preserve">N690LS  </v>
      </c>
      <c r="BC538">
        <v>1</v>
      </c>
      <c r="BE538">
        <v>0</v>
      </c>
      <c r="BF538">
        <v>0</v>
      </c>
      <c r="BG538">
        <v>0</v>
      </c>
      <c r="BH538">
        <v>10875</v>
      </c>
      <c r="BI538">
        <v>1</v>
      </c>
      <c r="BJ538">
        <v>1</v>
      </c>
      <c r="BK538">
        <v>1</v>
      </c>
      <c r="BL538">
        <v>0</v>
      </c>
      <c r="BO538">
        <v>0</v>
      </c>
      <c r="BP538">
        <v>0</v>
      </c>
      <c r="BW538" t="str">
        <f>"13:54:57.709"</f>
        <v>13:54:57.709</v>
      </c>
      <c r="CJ538">
        <v>0</v>
      </c>
      <c r="CK538">
        <v>2</v>
      </c>
      <c r="CL538">
        <v>0</v>
      </c>
      <c r="CM538">
        <v>2</v>
      </c>
      <c r="CN538">
        <v>0</v>
      </c>
      <c r="CO538">
        <v>7</v>
      </c>
      <c r="CP538" t="s">
        <v>119</v>
      </c>
      <c r="CQ538">
        <v>197</v>
      </c>
      <c r="CR538">
        <v>2</v>
      </c>
      <c r="CW538">
        <v>2328820</v>
      </c>
      <c r="CY538">
        <v>1</v>
      </c>
      <c r="CZ538">
        <v>0</v>
      </c>
      <c r="DA538">
        <v>1</v>
      </c>
      <c r="DB538">
        <v>0</v>
      </c>
      <c r="DC538">
        <v>0</v>
      </c>
      <c r="DD538">
        <v>1</v>
      </c>
      <c r="DE538">
        <v>0</v>
      </c>
      <c r="DF538">
        <v>0</v>
      </c>
      <c r="DG538">
        <v>0</v>
      </c>
      <c r="DH538">
        <v>0</v>
      </c>
      <c r="DI538">
        <v>0</v>
      </c>
    </row>
    <row r="539" spans="1:113" x14ac:dyDescent="0.3">
      <c r="A539" t="str">
        <f>"09/28/2021 13:54:58.824"</f>
        <v>09/28/2021 13:54:58.824</v>
      </c>
      <c r="C539" t="str">
        <f t="shared" si="26"/>
        <v>FFDFD3C0</v>
      </c>
      <c r="D539" t="s">
        <v>113</v>
      </c>
      <c r="E539">
        <v>7</v>
      </c>
      <c r="H539">
        <v>170</v>
      </c>
      <c r="I539" t="s">
        <v>114</v>
      </c>
      <c r="J539" t="s">
        <v>115</v>
      </c>
      <c r="K539">
        <v>0</v>
      </c>
      <c r="L539">
        <v>3</v>
      </c>
      <c r="M539">
        <v>0</v>
      </c>
      <c r="N539">
        <v>2</v>
      </c>
      <c r="O539">
        <v>1</v>
      </c>
      <c r="P539">
        <v>0</v>
      </c>
      <c r="Q539">
        <v>0</v>
      </c>
      <c r="S539" t="str">
        <f>"13:54:58.641"</f>
        <v>13:54:58.641</v>
      </c>
      <c r="T539" t="str">
        <f>"13:54:58.241"</f>
        <v>13:54:58.241</v>
      </c>
      <c r="U539" t="str">
        <f t="shared" si="28"/>
        <v>A92BC1</v>
      </c>
      <c r="V539">
        <v>0</v>
      </c>
      <c r="W539">
        <v>0</v>
      </c>
      <c r="X539">
        <v>2</v>
      </c>
      <c r="Z539">
        <v>0</v>
      </c>
      <c r="AA539">
        <v>9</v>
      </c>
      <c r="AB539">
        <v>3</v>
      </c>
      <c r="AC539">
        <v>0</v>
      </c>
      <c r="AD539">
        <v>10</v>
      </c>
      <c r="AE539">
        <v>0</v>
      </c>
      <c r="AF539">
        <v>3</v>
      </c>
      <c r="AG539">
        <v>2</v>
      </c>
      <c r="AH539">
        <v>0</v>
      </c>
      <c r="AI539" t="s">
        <v>640</v>
      </c>
      <c r="AJ539">
        <v>45.757626999999999</v>
      </c>
      <c r="AK539" t="s">
        <v>641</v>
      </c>
      <c r="AL539">
        <v>-89.336635999999999</v>
      </c>
      <c r="AM539">
        <v>100</v>
      </c>
      <c r="AN539">
        <v>10600</v>
      </c>
      <c r="AO539" t="s">
        <v>118</v>
      </c>
      <c r="AP539">
        <v>120</v>
      </c>
      <c r="AQ539">
        <v>110</v>
      </c>
      <c r="AR539">
        <v>2048</v>
      </c>
      <c r="AZ539">
        <v>1200</v>
      </c>
      <c r="BA539">
        <v>1</v>
      </c>
      <c r="BB539" t="str">
        <f t="shared" si="27"/>
        <v xml:space="preserve">N690LS  </v>
      </c>
      <c r="BC539">
        <v>1</v>
      </c>
      <c r="BE539">
        <v>0</v>
      </c>
      <c r="BF539">
        <v>0</v>
      </c>
      <c r="BG539">
        <v>0</v>
      </c>
      <c r="BH539">
        <v>10900</v>
      </c>
      <c r="BI539">
        <v>1</v>
      </c>
      <c r="BJ539">
        <v>1</v>
      </c>
      <c r="BK539">
        <v>1</v>
      </c>
      <c r="BL539">
        <v>0</v>
      </c>
      <c r="BO539">
        <v>0</v>
      </c>
      <c r="BP539">
        <v>0</v>
      </c>
      <c r="BW539" t="str">
        <f>"13:54:58.648"</f>
        <v>13:54:58.648</v>
      </c>
      <c r="CJ539">
        <v>0</v>
      </c>
      <c r="CK539">
        <v>2</v>
      </c>
      <c r="CL539">
        <v>0</v>
      </c>
      <c r="CM539">
        <v>2</v>
      </c>
      <c r="CN539">
        <v>0</v>
      </c>
      <c r="CO539">
        <v>7</v>
      </c>
      <c r="CP539" t="s">
        <v>119</v>
      </c>
      <c r="CQ539">
        <v>197</v>
      </c>
      <c r="CR539">
        <v>1</v>
      </c>
      <c r="CW539">
        <v>7255527</v>
      </c>
      <c r="CY539">
        <v>1</v>
      </c>
      <c r="CZ539">
        <v>0</v>
      </c>
      <c r="DA539">
        <v>0</v>
      </c>
      <c r="DB539">
        <v>0</v>
      </c>
      <c r="DC539">
        <v>0</v>
      </c>
      <c r="DD539">
        <v>1</v>
      </c>
      <c r="DE539">
        <v>0</v>
      </c>
      <c r="DF539">
        <v>0</v>
      </c>
      <c r="DG539">
        <v>0</v>
      </c>
      <c r="DH539">
        <v>0</v>
      </c>
      <c r="DI539">
        <v>0</v>
      </c>
    </row>
    <row r="540" spans="1:113" x14ac:dyDescent="0.3">
      <c r="A540" t="str">
        <f>"09/28/2021 13:54:58.902"</f>
        <v>09/28/2021 13:54:58.902</v>
      </c>
      <c r="C540" t="str">
        <f t="shared" si="26"/>
        <v>FFDFD3C0</v>
      </c>
      <c r="D540" t="s">
        <v>120</v>
      </c>
      <c r="E540">
        <v>12</v>
      </c>
      <c r="F540">
        <v>1012</v>
      </c>
      <c r="G540" t="s">
        <v>114</v>
      </c>
      <c r="J540" t="s">
        <v>121</v>
      </c>
      <c r="K540">
        <v>0</v>
      </c>
      <c r="L540">
        <v>3</v>
      </c>
      <c r="M540">
        <v>0</v>
      </c>
      <c r="N540">
        <v>2</v>
      </c>
      <c r="O540">
        <v>1</v>
      </c>
      <c r="P540">
        <v>0</v>
      </c>
      <c r="Q540">
        <v>0</v>
      </c>
      <c r="S540" t="str">
        <f>"13:54:58.641"</f>
        <v>13:54:58.641</v>
      </c>
      <c r="T540" t="str">
        <f>"13:54:58.241"</f>
        <v>13:54:58.241</v>
      </c>
      <c r="U540" t="str">
        <f t="shared" si="28"/>
        <v>A92BC1</v>
      </c>
      <c r="V540">
        <v>0</v>
      </c>
      <c r="W540">
        <v>0</v>
      </c>
      <c r="X540">
        <v>2</v>
      </c>
      <c r="Z540">
        <v>0</v>
      </c>
      <c r="AA540">
        <v>9</v>
      </c>
      <c r="AB540">
        <v>3</v>
      </c>
      <c r="AC540">
        <v>0</v>
      </c>
      <c r="AD540">
        <v>10</v>
      </c>
      <c r="AE540">
        <v>0</v>
      </c>
      <c r="AF540">
        <v>3</v>
      </c>
      <c r="AG540">
        <v>2</v>
      </c>
      <c r="AH540">
        <v>0</v>
      </c>
      <c r="AI540" t="s">
        <v>640</v>
      </c>
      <c r="AJ540">
        <v>45.757626999999999</v>
      </c>
      <c r="AK540" t="s">
        <v>641</v>
      </c>
      <c r="AL540">
        <v>-89.336635999999999</v>
      </c>
      <c r="AM540">
        <v>100</v>
      </c>
      <c r="AN540">
        <v>10600</v>
      </c>
      <c r="AO540" t="s">
        <v>118</v>
      </c>
      <c r="AP540">
        <v>120</v>
      </c>
      <c r="AQ540">
        <v>110</v>
      </c>
      <c r="AR540">
        <v>2048</v>
      </c>
      <c r="AZ540">
        <v>1200</v>
      </c>
      <c r="BA540">
        <v>1</v>
      </c>
      <c r="BB540" t="str">
        <f t="shared" si="27"/>
        <v xml:space="preserve">N690LS  </v>
      </c>
      <c r="BC540">
        <v>1</v>
      </c>
      <c r="BE540">
        <v>0</v>
      </c>
      <c r="BF540">
        <v>0</v>
      </c>
      <c r="BG540">
        <v>0</v>
      </c>
      <c r="BH540">
        <v>10900</v>
      </c>
      <c r="BI540">
        <v>1</v>
      </c>
      <c r="BJ540">
        <v>1</v>
      </c>
      <c r="BK540">
        <v>1</v>
      </c>
      <c r="BL540">
        <v>0</v>
      </c>
      <c r="BO540">
        <v>0</v>
      </c>
      <c r="BP540">
        <v>0</v>
      </c>
      <c r="BW540" t="str">
        <f>"13:54:58.648"</f>
        <v>13:54:58.648</v>
      </c>
      <c r="CJ540">
        <v>0</v>
      </c>
      <c r="CK540">
        <v>2</v>
      </c>
      <c r="CL540">
        <v>0</v>
      </c>
      <c r="CM540">
        <v>2</v>
      </c>
      <c r="CN540">
        <v>0</v>
      </c>
      <c r="CO540">
        <v>7</v>
      </c>
      <c r="CP540" t="s">
        <v>119</v>
      </c>
      <c r="CQ540">
        <v>197</v>
      </c>
      <c r="CR540">
        <v>1</v>
      </c>
      <c r="CW540">
        <v>7255527</v>
      </c>
      <c r="CY540">
        <v>1</v>
      </c>
      <c r="CZ540">
        <v>0</v>
      </c>
      <c r="DA540">
        <v>1</v>
      </c>
      <c r="DB540">
        <v>0</v>
      </c>
      <c r="DC540">
        <v>0</v>
      </c>
      <c r="DD540">
        <v>1</v>
      </c>
      <c r="DE540">
        <v>0</v>
      </c>
      <c r="DF540">
        <v>0</v>
      </c>
      <c r="DG540">
        <v>0</v>
      </c>
      <c r="DH540">
        <v>0</v>
      </c>
      <c r="DI540">
        <v>0</v>
      </c>
    </row>
    <row r="541" spans="1:113" x14ac:dyDescent="0.3">
      <c r="A541" t="str">
        <f>"09/28/2021 13:54:59.965"</f>
        <v>09/28/2021 13:54:59.965</v>
      </c>
      <c r="C541" t="str">
        <f t="shared" si="26"/>
        <v>FFDFD3C0</v>
      </c>
      <c r="D541" t="s">
        <v>120</v>
      </c>
      <c r="E541">
        <v>12</v>
      </c>
      <c r="F541">
        <v>1012</v>
      </c>
      <c r="G541" t="s">
        <v>114</v>
      </c>
      <c r="J541" t="s">
        <v>121</v>
      </c>
      <c r="K541">
        <v>0</v>
      </c>
      <c r="L541">
        <v>3</v>
      </c>
      <c r="M541">
        <v>0</v>
      </c>
      <c r="N541">
        <v>2</v>
      </c>
      <c r="O541">
        <v>1</v>
      </c>
      <c r="P541">
        <v>0</v>
      </c>
      <c r="Q541">
        <v>0</v>
      </c>
      <c r="S541" t="str">
        <f>"13:54:59.773"</f>
        <v>13:54:59.773</v>
      </c>
      <c r="T541" t="str">
        <f>"13:54:59.273"</f>
        <v>13:54:59.273</v>
      </c>
      <c r="U541" t="str">
        <f t="shared" si="28"/>
        <v>A92BC1</v>
      </c>
      <c r="V541">
        <v>0</v>
      </c>
      <c r="W541">
        <v>0</v>
      </c>
      <c r="X541">
        <v>2</v>
      </c>
      <c r="Z541">
        <v>0</v>
      </c>
      <c r="AA541">
        <v>9</v>
      </c>
      <c r="AB541">
        <v>3</v>
      </c>
      <c r="AC541">
        <v>0</v>
      </c>
      <c r="AD541">
        <v>10</v>
      </c>
      <c r="AE541">
        <v>0</v>
      </c>
      <c r="AF541">
        <v>3</v>
      </c>
      <c r="AG541">
        <v>2</v>
      </c>
      <c r="AH541">
        <v>0</v>
      </c>
      <c r="AI541" t="s">
        <v>642</v>
      </c>
      <c r="AJ541">
        <v>45.758184999999997</v>
      </c>
      <c r="AK541" t="s">
        <v>643</v>
      </c>
      <c r="AL541">
        <v>-89.335798999999994</v>
      </c>
      <c r="AM541">
        <v>100</v>
      </c>
      <c r="AN541">
        <v>10600</v>
      </c>
      <c r="AO541" t="s">
        <v>118</v>
      </c>
      <c r="AP541">
        <v>120</v>
      </c>
      <c r="AQ541">
        <v>110</v>
      </c>
      <c r="AR541">
        <v>2048</v>
      </c>
      <c r="AZ541">
        <v>1200</v>
      </c>
      <c r="BA541">
        <v>1</v>
      </c>
      <c r="BB541" t="str">
        <f t="shared" si="27"/>
        <v xml:space="preserve">N690LS  </v>
      </c>
      <c r="BC541">
        <v>1</v>
      </c>
      <c r="BE541">
        <v>0</v>
      </c>
      <c r="BF541">
        <v>0</v>
      </c>
      <c r="BG541">
        <v>0</v>
      </c>
      <c r="BH541">
        <v>10950</v>
      </c>
      <c r="BI541">
        <v>1</v>
      </c>
      <c r="BJ541">
        <v>1</v>
      </c>
      <c r="BK541">
        <v>1</v>
      </c>
      <c r="BL541">
        <v>0</v>
      </c>
      <c r="BO541">
        <v>0</v>
      </c>
      <c r="BP541">
        <v>0</v>
      </c>
      <c r="BW541" t="str">
        <f>"13:54:59.778"</f>
        <v>13:54:59.778</v>
      </c>
      <c r="CJ541">
        <v>0</v>
      </c>
      <c r="CK541">
        <v>2</v>
      </c>
      <c r="CL541">
        <v>0</v>
      </c>
      <c r="CM541">
        <v>2</v>
      </c>
      <c r="CN541">
        <v>0</v>
      </c>
      <c r="CO541">
        <v>7</v>
      </c>
      <c r="CP541" t="s">
        <v>119</v>
      </c>
      <c r="CQ541">
        <v>197</v>
      </c>
      <c r="CR541">
        <v>1</v>
      </c>
      <c r="CW541">
        <v>7256823</v>
      </c>
      <c r="CY541">
        <v>1</v>
      </c>
      <c r="CZ541">
        <v>0</v>
      </c>
      <c r="DA541">
        <v>0</v>
      </c>
      <c r="DB541">
        <v>0</v>
      </c>
      <c r="DC541">
        <v>0</v>
      </c>
      <c r="DD541">
        <v>1</v>
      </c>
      <c r="DE541">
        <v>0</v>
      </c>
      <c r="DF541">
        <v>0</v>
      </c>
      <c r="DG541">
        <v>0</v>
      </c>
      <c r="DH541">
        <v>0</v>
      </c>
      <c r="DI541">
        <v>0</v>
      </c>
    </row>
    <row r="542" spans="1:113" x14ac:dyDescent="0.3">
      <c r="A542" t="str">
        <f>"09/28/2021 13:54:59.980"</f>
        <v>09/28/2021 13:54:59.980</v>
      </c>
      <c r="C542" t="str">
        <f t="shared" si="26"/>
        <v>FFDFD3C0</v>
      </c>
      <c r="D542" t="s">
        <v>113</v>
      </c>
      <c r="E542">
        <v>7</v>
      </c>
      <c r="H542">
        <v>170</v>
      </c>
      <c r="I542" t="s">
        <v>114</v>
      </c>
      <c r="J542" t="s">
        <v>115</v>
      </c>
      <c r="K542">
        <v>0</v>
      </c>
      <c r="L542">
        <v>3</v>
      </c>
      <c r="M542">
        <v>0</v>
      </c>
      <c r="N542">
        <v>2</v>
      </c>
      <c r="O542">
        <v>1</v>
      </c>
      <c r="P542">
        <v>0</v>
      </c>
      <c r="Q542">
        <v>0</v>
      </c>
      <c r="S542" t="str">
        <f>"13:54:59.773"</f>
        <v>13:54:59.773</v>
      </c>
      <c r="T542" t="str">
        <f>"13:54:59.273"</f>
        <v>13:54:59.273</v>
      </c>
      <c r="U542" t="str">
        <f t="shared" si="28"/>
        <v>A92BC1</v>
      </c>
      <c r="V542">
        <v>0</v>
      </c>
      <c r="W542">
        <v>0</v>
      </c>
      <c r="X542">
        <v>2</v>
      </c>
      <c r="Z542">
        <v>0</v>
      </c>
      <c r="AA542">
        <v>9</v>
      </c>
      <c r="AB542">
        <v>3</v>
      </c>
      <c r="AC542">
        <v>0</v>
      </c>
      <c r="AD542">
        <v>10</v>
      </c>
      <c r="AE542">
        <v>0</v>
      </c>
      <c r="AF542">
        <v>3</v>
      </c>
      <c r="AG542">
        <v>2</v>
      </c>
      <c r="AH542">
        <v>0</v>
      </c>
      <c r="AI542" t="s">
        <v>642</v>
      </c>
      <c r="AJ542">
        <v>45.758184999999997</v>
      </c>
      <c r="AK542" t="s">
        <v>643</v>
      </c>
      <c r="AL542">
        <v>-89.335798999999994</v>
      </c>
      <c r="AM542">
        <v>100</v>
      </c>
      <c r="AN542">
        <v>10600</v>
      </c>
      <c r="AO542" t="s">
        <v>118</v>
      </c>
      <c r="AP542">
        <v>120</v>
      </c>
      <c r="AQ542">
        <v>110</v>
      </c>
      <c r="AR542">
        <v>2048</v>
      </c>
      <c r="AZ542">
        <v>1200</v>
      </c>
      <c r="BA542">
        <v>1</v>
      </c>
      <c r="BB542" t="str">
        <f t="shared" si="27"/>
        <v xml:space="preserve">N690LS  </v>
      </c>
      <c r="BC542">
        <v>1</v>
      </c>
      <c r="BE542">
        <v>0</v>
      </c>
      <c r="BF542">
        <v>0</v>
      </c>
      <c r="BG542">
        <v>0</v>
      </c>
      <c r="BH542">
        <v>10950</v>
      </c>
      <c r="BI542">
        <v>1</v>
      </c>
      <c r="BJ542">
        <v>1</v>
      </c>
      <c r="BK542">
        <v>1</v>
      </c>
      <c r="BL542">
        <v>0</v>
      </c>
      <c r="BO542">
        <v>0</v>
      </c>
      <c r="BP542">
        <v>0</v>
      </c>
      <c r="BW542" t="str">
        <f>"13:54:59.778"</f>
        <v>13:54:59.778</v>
      </c>
      <c r="CJ542">
        <v>0</v>
      </c>
      <c r="CK542">
        <v>2</v>
      </c>
      <c r="CL542">
        <v>0</v>
      </c>
      <c r="CM542">
        <v>2</v>
      </c>
      <c r="CN542">
        <v>0</v>
      </c>
      <c r="CO542">
        <v>7</v>
      </c>
      <c r="CP542" t="s">
        <v>119</v>
      </c>
      <c r="CQ542">
        <v>197</v>
      </c>
      <c r="CR542">
        <v>1</v>
      </c>
      <c r="CW542">
        <v>7256823</v>
      </c>
      <c r="CY542">
        <v>1</v>
      </c>
      <c r="CZ542">
        <v>0</v>
      </c>
      <c r="DA542">
        <v>1</v>
      </c>
      <c r="DB542">
        <v>0</v>
      </c>
      <c r="DC542">
        <v>0</v>
      </c>
      <c r="DD542">
        <v>1</v>
      </c>
      <c r="DE542">
        <v>0</v>
      </c>
      <c r="DF542">
        <v>0</v>
      </c>
      <c r="DG542">
        <v>0</v>
      </c>
      <c r="DH542">
        <v>0</v>
      </c>
      <c r="DI542">
        <v>0</v>
      </c>
    </row>
    <row r="543" spans="1:113" x14ac:dyDescent="0.3">
      <c r="A543" t="str">
        <f>"09/28/2021 13:55:01.090"</f>
        <v>09/28/2021 13:55:01.090</v>
      </c>
      <c r="C543" t="str">
        <f t="shared" si="26"/>
        <v>FFDFD3C0</v>
      </c>
      <c r="D543" t="s">
        <v>113</v>
      </c>
      <c r="E543">
        <v>7</v>
      </c>
      <c r="H543">
        <v>170</v>
      </c>
      <c r="I543" t="s">
        <v>114</v>
      </c>
      <c r="J543" t="s">
        <v>115</v>
      </c>
      <c r="K543">
        <v>0</v>
      </c>
      <c r="L543">
        <v>3</v>
      </c>
      <c r="M543">
        <v>0</v>
      </c>
      <c r="N543">
        <v>2</v>
      </c>
      <c r="O543">
        <v>1</v>
      </c>
      <c r="P543">
        <v>0</v>
      </c>
      <c r="Q543">
        <v>0</v>
      </c>
      <c r="S543" t="str">
        <f>"13:55:00.852"</f>
        <v>13:55:00.852</v>
      </c>
      <c r="T543" t="str">
        <f>"13:55:00.352"</f>
        <v>13:55:00.352</v>
      </c>
      <c r="U543" t="str">
        <f t="shared" si="28"/>
        <v>A92BC1</v>
      </c>
      <c r="V543">
        <v>0</v>
      </c>
      <c r="W543">
        <v>0</v>
      </c>
      <c r="X543">
        <v>2</v>
      </c>
      <c r="Z543">
        <v>0</v>
      </c>
      <c r="AA543">
        <v>9</v>
      </c>
      <c r="AB543">
        <v>3</v>
      </c>
      <c r="AC543">
        <v>0</v>
      </c>
      <c r="AD543">
        <v>10</v>
      </c>
      <c r="AE543">
        <v>0</v>
      </c>
      <c r="AF543">
        <v>3</v>
      </c>
      <c r="AG543">
        <v>2</v>
      </c>
      <c r="AH543">
        <v>0</v>
      </c>
      <c r="AI543" t="s">
        <v>644</v>
      </c>
      <c r="AJ543">
        <v>45.758764999999997</v>
      </c>
      <c r="AK543" t="s">
        <v>645</v>
      </c>
      <c r="AL543">
        <v>-89.334918999999999</v>
      </c>
      <c r="AM543">
        <v>100</v>
      </c>
      <c r="AN543">
        <v>10700</v>
      </c>
      <c r="AO543" t="s">
        <v>118</v>
      </c>
      <c r="AP543">
        <v>120</v>
      </c>
      <c r="AQ543">
        <v>109</v>
      </c>
      <c r="AR543">
        <v>2048</v>
      </c>
      <c r="AZ543">
        <v>1200</v>
      </c>
      <c r="BA543">
        <v>1</v>
      </c>
      <c r="BB543" t="str">
        <f t="shared" si="27"/>
        <v xml:space="preserve">N690LS  </v>
      </c>
      <c r="BC543">
        <v>1</v>
      </c>
      <c r="BE543">
        <v>0</v>
      </c>
      <c r="BF543">
        <v>0</v>
      </c>
      <c r="BG543">
        <v>0</v>
      </c>
      <c r="BH543">
        <v>10975</v>
      </c>
      <c r="BI543">
        <v>1</v>
      </c>
      <c r="BJ543">
        <v>1</v>
      </c>
      <c r="BK543">
        <v>1</v>
      </c>
      <c r="BL543">
        <v>0</v>
      </c>
      <c r="BO543">
        <v>0</v>
      </c>
      <c r="BP543">
        <v>0</v>
      </c>
      <c r="BW543" t="str">
        <f>"13:55:00.853"</f>
        <v>13:55:00.853</v>
      </c>
      <c r="CJ543">
        <v>0</v>
      </c>
      <c r="CK543">
        <v>2</v>
      </c>
      <c r="CL543">
        <v>0</v>
      </c>
      <c r="CM543">
        <v>2</v>
      </c>
      <c r="CN543">
        <v>0</v>
      </c>
      <c r="CO543">
        <v>7</v>
      </c>
      <c r="CP543" t="s">
        <v>119</v>
      </c>
      <c r="CQ543">
        <v>197</v>
      </c>
      <c r="CR543">
        <v>2</v>
      </c>
      <c r="CW543">
        <v>2331712</v>
      </c>
      <c r="CY543">
        <v>1</v>
      </c>
      <c r="CZ543">
        <v>0</v>
      </c>
      <c r="DA543">
        <v>0</v>
      </c>
      <c r="DB543">
        <v>0</v>
      </c>
      <c r="DC543">
        <v>0</v>
      </c>
      <c r="DD543">
        <v>1</v>
      </c>
      <c r="DE543">
        <v>0</v>
      </c>
      <c r="DF543">
        <v>0</v>
      </c>
      <c r="DG543">
        <v>0</v>
      </c>
      <c r="DH543">
        <v>0</v>
      </c>
      <c r="DI543">
        <v>0</v>
      </c>
    </row>
    <row r="544" spans="1:113" x14ac:dyDescent="0.3">
      <c r="A544" t="str">
        <f>"09/28/2021 13:55:01.090"</f>
        <v>09/28/2021 13:55:01.090</v>
      </c>
      <c r="C544" t="str">
        <f t="shared" si="26"/>
        <v>FFDFD3C0</v>
      </c>
      <c r="D544" t="s">
        <v>120</v>
      </c>
      <c r="E544">
        <v>12</v>
      </c>
      <c r="F544">
        <v>1012</v>
      </c>
      <c r="G544" t="s">
        <v>114</v>
      </c>
      <c r="J544" t="s">
        <v>121</v>
      </c>
      <c r="K544">
        <v>0</v>
      </c>
      <c r="L544">
        <v>3</v>
      </c>
      <c r="M544">
        <v>0</v>
      </c>
      <c r="N544">
        <v>2</v>
      </c>
      <c r="O544">
        <v>1</v>
      </c>
      <c r="P544">
        <v>0</v>
      </c>
      <c r="Q544">
        <v>0</v>
      </c>
      <c r="S544" t="str">
        <f>"13:55:00.852"</f>
        <v>13:55:00.852</v>
      </c>
      <c r="T544" t="str">
        <f>"13:55:00.352"</f>
        <v>13:55:00.352</v>
      </c>
      <c r="U544" t="str">
        <f t="shared" si="28"/>
        <v>A92BC1</v>
      </c>
      <c r="V544">
        <v>0</v>
      </c>
      <c r="W544">
        <v>0</v>
      </c>
      <c r="X544">
        <v>2</v>
      </c>
      <c r="Z544">
        <v>0</v>
      </c>
      <c r="AA544">
        <v>9</v>
      </c>
      <c r="AB544">
        <v>3</v>
      </c>
      <c r="AC544">
        <v>0</v>
      </c>
      <c r="AD544">
        <v>10</v>
      </c>
      <c r="AE544">
        <v>0</v>
      </c>
      <c r="AF544">
        <v>3</v>
      </c>
      <c r="AG544">
        <v>2</v>
      </c>
      <c r="AH544">
        <v>0</v>
      </c>
      <c r="AI544" t="s">
        <v>644</v>
      </c>
      <c r="AJ544">
        <v>45.758764999999997</v>
      </c>
      <c r="AK544" t="s">
        <v>645</v>
      </c>
      <c r="AL544">
        <v>-89.334918999999999</v>
      </c>
      <c r="AM544">
        <v>100</v>
      </c>
      <c r="AN544">
        <v>10700</v>
      </c>
      <c r="AO544" t="s">
        <v>118</v>
      </c>
      <c r="AP544">
        <v>120</v>
      </c>
      <c r="AQ544">
        <v>109</v>
      </c>
      <c r="AR544">
        <v>2048</v>
      </c>
      <c r="AZ544">
        <v>1200</v>
      </c>
      <c r="BA544">
        <v>1</v>
      </c>
      <c r="BB544" t="str">
        <f t="shared" si="27"/>
        <v xml:space="preserve">N690LS  </v>
      </c>
      <c r="BC544">
        <v>1</v>
      </c>
      <c r="BE544">
        <v>0</v>
      </c>
      <c r="BF544">
        <v>0</v>
      </c>
      <c r="BG544">
        <v>0</v>
      </c>
      <c r="BH544">
        <v>10975</v>
      </c>
      <c r="BI544">
        <v>1</v>
      </c>
      <c r="BJ544">
        <v>1</v>
      </c>
      <c r="BK544">
        <v>1</v>
      </c>
      <c r="BL544">
        <v>0</v>
      </c>
      <c r="BO544">
        <v>0</v>
      </c>
      <c r="BP544">
        <v>0</v>
      </c>
      <c r="BW544" t="str">
        <f>"13:55:00.853"</f>
        <v>13:55:00.853</v>
      </c>
      <c r="CJ544">
        <v>0</v>
      </c>
      <c r="CK544">
        <v>2</v>
      </c>
      <c r="CL544">
        <v>0</v>
      </c>
      <c r="CM544">
        <v>2</v>
      </c>
      <c r="CN544">
        <v>0</v>
      </c>
      <c r="CO544">
        <v>7</v>
      </c>
      <c r="CP544" t="s">
        <v>119</v>
      </c>
      <c r="CQ544">
        <v>197</v>
      </c>
      <c r="CR544">
        <v>2</v>
      </c>
      <c r="CW544">
        <v>2331712</v>
      </c>
      <c r="CY544">
        <v>1</v>
      </c>
      <c r="CZ544">
        <v>0</v>
      </c>
      <c r="DA544">
        <v>1</v>
      </c>
      <c r="DB544">
        <v>0</v>
      </c>
      <c r="DC544">
        <v>0</v>
      </c>
      <c r="DD544">
        <v>1</v>
      </c>
      <c r="DE544">
        <v>0</v>
      </c>
      <c r="DF544">
        <v>0</v>
      </c>
      <c r="DG544">
        <v>0</v>
      </c>
      <c r="DH544">
        <v>0</v>
      </c>
      <c r="DI544">
        <v>0</v>
      </c>
    </row>
    <row r="545" spans="1:113" x14ac:dyDescent="0.3">
      <c r="A545" t="str">
        <f>"09/28/2021 13:55:02.027"</f>
        <v>09/28/2021 13:55:02.027</v>
      </c>
      <c r="C545" t="str">
        <f t="shared" si="26"/>
        <v>FFDFD3C0</v>
      </c>
      <c r="D545" t="s">
        <v>113</v>
      </c>
      <c r="E545">
        <v>7</v>
      </c>
      <c r="H545">
        <v>170</v>
      </c>
      <c r="I545" t="s">
        <v>114</v>
      </c>
      <c r="J545" t="s">
        <v>115</v>
      </c>
      <c r="K545">
        <v>0</v>
      </c>
      <c r="L545">
        <v>3</v>
      </c>
      <c r="M545">
        <v>0</v>
      </c>
      <c r="N545">
        <v>2</v>
      </c>
      <c r="O545">
        <v>1</v>
      </c>
      <c r="P545">
        <v>0</v>
      </c>
      <c r="Q545">
        <v>0</v>
      </c>
      <c r="S545" t="str">
        <f>"13:55:01.820"</f>
        <v>13:55:01.820</v>
      </c>
      <c r="T545" t="str">
        <f>"13:55:01.320"</f>
        <v>13:55:01.320</v>
      </c>
      <c r="U545" t="str">
        <f t="shared" si="28"/>
        <v>A92BC1</v>
      </c>
      <c r="V545">
        <v>0</v>
      </c>
      <c r="W545">
        <v>0</v>
      </c>
      <c r="X545">
        <v>2</v>
      </c>
      <c r="Z545">
        <v>0</v>
      </c>
      <c r="AA545">
        <v>9</v>
      </c>
      <c r="AB545">
        <v>3</v>
      </c>
      <c r="AC545">
        <v>0</v>
      </c>
      <c r="AD545">
        <v>10</v>
      </c>
      <c r="AE545">
        <v>0</v>
      </c>
      <c r="AF545">
        <v>3</v>
      </c>
      <c r="AG545">
        <v>2</v>
      </c>
      <c r="AH545">
        <v>0</v>
      </c>
      <c r="AI545" t="s">
        <v>646</v>
      </c>
      <c r="AJ545">
        <v>45.759258000000003</v>
      </c>
      <c r="AK545" t="s">
        <v>647</v>
      </c>
      <c r="AL545">
        <v>-89.334083000000007</v>
      </c>
      <c r="AM545">
        <v>100</v>
      </c>
      <c r="AN545">
        <v>10700</v>
      </c>
      <c r="AO545" t="s">
        <v>118</v>
      </c>
      <c r="AP545">
        <v>120</v>
      </c>
      <c r="AQ545">
        <v>109</v>
      </c>
      <c r="AR545">
        <v>2048</v>
      </c>
      <c r="AZ545">
        <v>1200</v>
      </c>
      <c r="BA545">
        <v>1</v>
      </c>
      <c r="BB545" t="str">
        <f t="shared" si="27"/>
        <v xml:space="preserve">N690LS  </v>
      </c>
      <c r="BC545">
        <v>1</v>
      </c>
      <c r="BE545">
        <v>0</v>
      </c>
      <c r="BF545">
        <v>0</v>
      </c>
      <c r="BG545">
        <v>0</v>
      </c>
      <c r="BH545">
        <v>11025</v>
      </c>
      <c r="BI545">
        <v>1</v>
      </c>
      <c r="BJ545">
        <v>1</v>
      </c>
      <c r="BK545">
        <v>1</v>
      </c>
      <c r="BL545">
        <v>0</v>
      </c>
      <c r="BO545">
        <v>0</v>
      </c>
      <c r="BP545">
        <v>0</v>
      </c>
      <c r="BW545" t="str">
        <f>"13:55:01.826"</f>
        <v>13:55:01.826</v>
      </c>
      <c r="CJ545">
        <v>0</v>
      </c>
      <c r="CK545">
        <v>2</v>
      </c>
      <c r="CL545">
        <v>0</v>
      </c>
      <c r="CM545">
        <v>2</v>
      </c>
      <c r="CN545">
        <v>0</v>
      </c>
      <c r="CO545">
        <v>7</v>
      </c>
      <c r="CP545" t="s">
        <v>119</v>
      </c>
      <c r="CQ545">
        <v>197</v>
      </c>
      <c r="CR545">
        <v>2</v>
      </c>
      <c r="CW545">
        <v>2332555</v>
      </c>
      <c r="CY545">
        <v>1</v>
      </c>
      <c r="CZ545">
        <v>0</v>
      </c>
      <c r="DA545">
        <v>0</v>
      </c>
      <c r="DB545">
        <v>0</v>
      </c>
      <c r="DC545">
        <v>0</v>
      </c>
      <c r="DD545">
        <v>1</v>
      </c>
      <c r="DE545">
        <v>0</v>
      </c>
      <c r="DF545">
        <v>0</v>
      </c>
      <c r="DG545">
        <v>0</v>
      </c>
      <c r="DH545">
        <v>0</v>
      </c>
      <c r="DI545">
        <v>0</v>
      </c>
    </row>
    <row r="546" spans="1:113" x14ac:dyDescent="0.3">
      <c r="A546" t="str">
        <f>"09/28/2021 13:55:02.043"</f>
        <v>09/28/2021 13:55:02.043</v>
      </c>
      <c r="C546" t="str">
        <f t="shared" si="26"/>
        <v>FFDFD3C0</v>
      </c>
      <c r="D546" t="s">
        <v>120</v>
      </c>
      <c r="E546">
        <v>12</v>
      </c>
      <c r="F546">
        <v>1012</v>
      </c>
      <c r="G546" t="s">
        <v>114</v>
      </c>
      <c r="J546" t="s">
        <v>121</v>
      </c>
      <c r="K546">
        <v>0</v>
      </c>
      <c r="L546">
        <v>3</v>
      </c>
      <c r="M546">
        <v>0</v>
      </c>
      <c r="N546">
        <v>2</v>
      </c>
      <c r="O546">
        <v>1</v>
      </c>
      <c r="P546">
        <v>0</v>
      </c>
      <c r="Q546">
        <v>0</v>
      </c>
      <c r="S546" t="str">
        <f>"13:55:01.820"</f>
        <v>13:55:01.820</v>
      </c>
      <c r="T546" t="str">
        <f>"13:55:01.320"</f>
        <v>13:55:01.320</v>
      </c>
      <c r="U546" t="str">
        <f t="shared" si="28"/>
        <v>A92BC1</v>
      </c>
      <c r="V546">
        <v>0</v>
      </c>
      <c r="W546">
        <v>0</v>
      </c>
      <c r="X546">
        <v>2</v>
      </c>
      <c r="Z546">
        <v>0</v>
      </c>
      <c r="AA546">
        <v>9</v>
      </c>
      <c r="AB546">
        <v>3</v>
      </c>
      <c r="AC546">
        <v>0</v>
      </c>
      <c r="AD546">
        <v>10</v>
      </c>
      <c r="AE546">
        <v>0</v>
      </c>
      <c r="AF546">
        <v>3</v>
      </c>
      <c r="AG546">
        <v>2</v>
      </c>
      <c r="AH546">
        <v>0</v>
      </c>
      <c r="AI546" t="s">
        <v>646</v>
      </c>
      <c r="AJ546">
        <v>45.759258000000003</v>
      </c>
      <c r="AK546" t="s">
        <v>647</v>
      </c>
      <c r="AL546">
        <v>-89.334083000000007</v>
      </c>
      <c r="AM546">
        <v>100</v>
      </c>
      <c r="AN546">
        <v>10700</v>
      </c>
      <c r="AO546" t="s">
        <v>118</v>
      </c>
      <c r="AP546">
        <v>120</v>
      </c>
      <c r="AQ546">
        <v>109</v>
      </c>
      <c r="AR546">
        <v>2048</v>
      </c>
      <c r="AZ546">
        <v>1200</v>
      </c>
      <c r="BA546">
        <v>1</v>
      </c>
      <c r="BB546" t="str">
        <f t="shared" si="27"/>
        <v xml:space="preserve">N690LS  </v>
      </c>
      <c r="BC546">
        <v>1</v>
      </c>
      <c r="BE546">
        <v>0</v>
      </c>
      <c r="BF546">
        <v>0</v>
      </c>
      <c r="BG546">
        <v>0</v>
      </c>
      <c r="BH546">
        <v>11025</v>
      </c>
      <c r="BI546">
        <v>1</v>
      </c>
      <c r="BJ546">
        <v>1</v>
      </c>
      <c r="BK546">
        <v>1</v>
      </c>
      <c r="BL546">
        <v>0</v>
      </c>
      <c r="BO546">
        <v>0</v>
      </c>
      <c r="BP546">
        <v>0</v>
      </c>
      <c r="BW546" t="str">
        <f>"13:55:01.826"</f>
        <v>13:55:01.826</v>
      </c>
      <c r="CJ546">
        <v>0</v>
      </c>
      <c r="CK546">
        <v>2</v>
      </c>
      <c r="CL546">
        <v>0</v>
      </c>
      <c r="CM546">
        <v>2</v>
      </c>
      <c r="CN546">
        <v>0</v>
      </c>
      <c r="CO546">
        <v>7</v>
      </c>
      <c r="CP546" t="s">
        <v>119</v>
      </c>
      <c r="CQ546">
        <v>197</v>
      </c>
      <c r="CR546">
        <v>2</v>
      </c>
      <c r="CW546">
        <v>2332555</v>
      </c>
      <c r="CY546">
        <v>1</v>
      </c>
      <c r="CZ546">
        <v>0</v>
      </c>
      <c r="DA546">
        <v>1</v>
      </c>
      <c r="DB546">
        <v>0</v>
      </c>
      <c r="DC546">
        <v>0</v>
      </c>
      <c r="DD546">
        <v>1</v>
      </c>
      <c r="DE546">
        <v>0</v>
      </c>
      <c r="DF546">
        <v>0</v>
      </c>
      <c r="DG546">
        <v>0</v>
      </c>
      <c r="DH546">
        <v>0</v>
      </c>
      <c r="DI546">
        <v>0</v>
      </c>
    </row>
    <row r="547" spans="1:113" x14ac:dyDescent="0.3">
      <c r="A547" t="str">
        <f>"09/28/2021 13:55:03.121"</f>
        <v>09/28/2021 13:55:03.121</v>
      </c>
      <c r="C547" t="str">
        <f t="shared" si="26"/>
        <v>FFDFD3C0</v>
      </c>
      <c r="D547" t="s">
        <v>113</v>
      </c>
      <c r="E547">
        <v>7</v>
      </c>
      <c r="H547">
        <v>170</v>
      </c>
      <c r="I547" t="s">
        <v>114</v>
      </c>
      <c r="J547" t="s">
        <v>115</v>
      </c>
      <c r="K547">
        <v>0</v>
      </c>
      <c r="L547">
        <v>3</v>
      </c>
      <c r="M547">
        <v>0</v>
      </c>
      <c r="N547">
        <v>2</v>
      </c>
      <c r="O547">
        <v>1</v>
      </c>
      <c r="P547">
        <v>0</v>
      </c>
      <c r="Q547">
        <v>0</v>
      </c>
      <c r="S547" t="str">
        <f>"13:55:02.867"</f>
        <v>13:55:02.867</v>
      </c>
      <c r="T547" t="str">
        <f>"13:55:02.467"</f>
        <v>13:55:02.467</v>
      </c>
      <c r="U547" t="str">
        <f t="shared" si="28"/>
        <v>A92BC1</v>
      </c>
      <c r="V547">
        <v>0</v>
      </c>
      <c r="W547">
        <v>0</v>
      </c>
      <c r="X547">
        <v>2</v>
      </c>
      <c r="Z547">
        <v>0</v>
      </c>
      <c r="AA547">
        <v>9</v>
      </c>
      <c r="AB547">
        <v>3</v>
      </c>
      <c r="AC547">
        <v>0</v>
      </c>
      <c r="AD547">
        <v>10</v>
      </c>
      <c r="AE547">
        <v>0</v>
      </c>
      <c r="AF547">
        <v>3</v>
      </c>
      <c r="AG547">
        <v>2</v>
      </c>
      <c r="AH547">
        <v>0</v>
      </c>
      <c r="AI547" t="s">
        <v>648</v>
      </c>
      <c r="AJ547">
        <v>45.759773000000003</v>
      </c>
      <c r="AK547" t="s">
        <v>649</v>
      </c>
      <c r="AL547">
        <v>-89.333331999999999</v>
      </c>
      <c r="AM547">
        <v>100</v>
      </c>
      <c r="AN547">
        <v>10700</v>
      </c>
      <c r="AO547" t="s">
        <v>118</v>
      </c>
      <c r="AP547">
        <v>121</v>
      </c>
      <c r="AQ547">
        <v>108</v>
      </c>
      <c r="AR547">
        <v>2048</v>
      </c>
      <c r="AZ547">
        <v>1200</v>
      </c>
      <c r="BA547">
        <v>1</v>
      </c>
      <c r="BB547" t="str">
        <f t="shared" si="27"/>
        <v xml:space="preserve">N690LS  </v>
      </c>
      <c r="BC547">
        <v>1</v>
      </c>
      <c r="BE547">
        <v>0</v>
      </c>
      <c r="BF547">
        <v>0</v>
      </c>
      <c r="BG547">
        <v>0</v>
      </c>
      <c r="BH547">
        <v>11050</v>
      </c>
      <c r="BI547">
        <v>1</v>
      </c>
      <c r="BJ547">
        <v>1</v>
      </c>
      <c r="BK547">
        <v>1</v>
      </c>
      <c r="BL547">
        <v>0</v>
      </c>
      <c r="BO547">
        <v>0</v>
      </c>
      <c r="BP547">
        <v>0</v>
      </c>
      <c r="BW547" t="str">
        <f>"13:55:02.871"</f>
        <v>13:55:02.871</v>
      </c>
      <c r="CJ547">
        <v>0</v>
      </c>
      <c r="CK547">
        <v>2</v>
      </c>
      <c r="CL547">
        <v>0</v>
      </c>
      <c r="CM547">
        <v>2</v>
      </c>
      <c r="CN547">
        <v>0</v>
      </c>
      <c r="CO547">
        <v>7</v>
      </c>
      <c r="CP547" t="s">
        <v>119</v>
      </c>
      <c r="CQ547">
        <v>197</v>
      </c>
      <c r="CR547">
        <v>1</v>
      </c>
      <c r="CW547">
        <v>7260224</v>
      </c>
      <c r="CY547">
        <v>1</v>
      </c>
      <c r="CZ547">
        <v>0</v>
      </c>
      <c r="DA547">
        <v>0</v>
      </c>
      <c r="DB547">
        <v>0</v>
      </c>
      <c r="DC547">
        <v>0</v>
      </c>
      <c r="DD547">
        <v>1</v>
      </c>
      <c r="DE547">
        <v>0</v>
      </c>
      <c r="DF547">
        <v>0</v>
      </c>
      <c r="DG547">
        <v>0</v>
      </c>
      <c r="DH547">
        <v>0</v>
      </c>
      <c r="DI547">
        <v>0</v>
      </c>
    </row>
    <row r="548" spans="1:113" x14ac:dyDescent="0.3">
      <c r="A548" t="str">
        <f>"09/28/2021 13:55:03.121"</f>
        <v>09/28/2021 13:55:03.121</v>
      </c>
      <c r="C548" t="str">
        <f t="shared" si="26"/>
        <v>FFDFD3C0</v>
      </c>
      <c r="D548" t="s">
        <v>120</v>
      </c>
      <c r="E548">
        <v>12</v>
      </c>
      <c r="F548">
        <v>1012</v>
      </c>
      <c r="G548" t="s">
        <v>114</v>
      </c>
      <c r="J548" t="s">
        <v>121</v>
      </c>
      <c r="K548">
        <v>0</v>
      </c>
      <c r="L548">
        <v>3</v>
      </c>
      <c r="M548">
        <v>0</v>
      </c>
      <c r="N548">
        <v>2</v>
      </c>
      <c r="O548">
        <v>1</v>
      </c>
      <c r="P548">
        <v>0</v>
      </c>
      <c r="Q548">
        <v>0</v>
      </c>
      <c r="S548" t="str">
        <f>"13:55:02.867"</f>
        <v>13:55:02.867</v>
      </c>
      <c r="T548" t="str">
        <f>"13:55:02.467"</f>
        <v>13:55:02.467</v>
      </c>
      <c r="U548" t="str">
        <f t="shared" si="28"/>
        <v>A92BC1</v>
      </c>
      <c r="V548">
        <v>0</v>
      </c>
      <c r="W548">
        <v>0</v>
      </c>
      <c r="X548">
        <v>2</v>
      </c>
      <c r="Z548">
        <v>0</v>
      </c>
      <c r="AA548">
        <v>9</v>
      </c>
      <c r="AB548">
        <v>3</v>
      </c>
      <c r="AC548">
        <v>0</v>
      </c>
      <c r="AD548">
        <v>10</v>
      </c>
      <c r="AE548">
        <v>0</v>
      </c>
      <c r="AF548">
        <v>3</v>
      </c>
      <c r="AG548">
        <v>2</v>
      </c>
      <c r="AH548">
        <v>0</v>
      </c>
      <c r="AI548" t="s">
        <v>648</v>
      </c>
      <c r="AJ548">
        <v>45.759773000000003</v>
      </c>
      <c r="AK548" t="s">
        <v>649</v>
      </c>
      <c r="AL548">
        <v>-89.333331999999999</v>
      </c>
      <c r="AM548">
        <v>100</v>
      </c>
      <c r="AN548">
        <v>10700</v>
      </c>
      <c r="AO548" t="s">
        <v>118</v>
      </c>
      <c r="AP548">
        <v>121</v>
      </c>
      <c r="AQ548">
        <v>108</v>
      </c>
      <c r="AR548">
        <v>2048</v>
      </c>
      <c r="AZ548">
        <v>1200</v>
      </c>
      <c r="BA548">
        <v>1</v>
      </c>
      <c r="BB548" t="str">
        <f t="shared" si="27"/>
        <v xml:space="preserve">N690LS  </v>
      </c>
      <c r="BC548">
        <v>1</v>
      </c>
      <c r="BE548">
        <v>0</v>
      </c>
      <c r="BF548">
        <v>0</v>
      </c>
      <c r="BG548">
        <v>0</v>
      </c>
      <c r="BH548">
        <v>11050</v>
      </c>
      <c r="BI548">
        <v>1</v>
      </c>
      <c r="BJ548">
        <v>1</v>
      </c>
      <c r="BK548">
        <v>1</v>
      </c>
      <c r="BL548">
        <v>0</v>
      </c>
      <c r="BO548">
        <v>0</v>
      </c>
      <c r="BP548">
        <v>0</v>
      </c>
      <c r="BW548" t="str">
        <f>"13:55:02.871"</f>
        <v>13:55:02.871</v>
      </c>
      <c r="CJ548">
        <v>0</v>
      </c>
      <c r="CK548">
        <v>2</v>
      </c>
      <c r="CL548">
        <v>0</v>
      </c>
      <c r="CM548">
        <v>2</v>
      </c>
      <c r="CN548">
        <v>0</v>
      </c>
      <c r="CO548">
        <v>7</v>
      </c>
      <c r="CP548" t="s">
        <v>119</v>
      </c>
      <c r="CQ548">
        <v>197</v>
      </c>
      <c r="CR548">
        <v>1</v>
      </c>
      <c r="CW548">
        <v>7260224</v>
      </c>
      <c r="CY548">
        <v>1</v>
      </c>
      <c r="CZ548">
        <v>0</v>
      </c>
      <c r="DA548">
        <v>1</v>
      </c>
      <c r="DB548">
        <v>0</v>
      </c>
      <c r="DC548">
        <v>0</v>
      </c>
      <c r="DD548">
        <v>1</v>
      </c>
      <c r="DE548">
        <v>0</v>
      </c>
      <c r="DF548">
        <v>0</v>
      </c>
      <c r="DG548">
        <v>0</v>
      </c>
      <c r="DH548">
        <v>0</v>
      </c>
      <c r="DI548">
        <v>0</v>
      </c>
    </row>
    <row r="549" spans="1:113" x14ac:dyDescent="0.3">
      <c r="A549" t="str">
        <f>"09/28/2021 13:55:04.029"</f>
        <v>09/28/2021 13:55:04.029</v>
      </c>
      <c r="C549" t="str">
        <f t="shared" si="26"/>
        <v>FFDFD3C0</v>
      </c>
      <c r="D549" t="s">
        <v>113</v>
      </c>
      <c r="E549">
        <v>7</v>
      </c>
      <c r="H549">
        <v>170</v>
      </c>
      <c r="I549" t="s">
        <v>114</v>
      </c>
      <c r="J549" t="s">
        <v>115</v>
      </c>
      <c r="K549">
        <v>0</v>
      </c>
      <c r="L549">
        <v>3</v>
      </c>
      <c r="M549">
        <v>0</v>
      </c>
      <c r="N549">
        <v>2</v>
      </c>
      <c r="O549">
        <v>1</v>
      </c>
      <c r="P549">
        <v>0</v>
      </c>
      <c r="Q549">
        <v>0</v>
      </c>
      <c r="S549" t="str">
        <f>"13:55:03.844"</f>
        <v>13:55:03.844</v>
      </c>
      <c r="T549" t="str">
        <f>"13:55:03.344"</f>
        <v>13:55:03.344</v>
      </c>
      <c r="U549" t="str">
        <f t="shared" si="28"/>
        <v>A92BC1</v>
      </c>
      <c r="V549">
        <v>0</v>
      </c>
      <c r="W549">
        <v>0</v>
      </c>
      <c r="X549">
        <v>2</v>
      </c>
      <c r="Z549">
        <v>0</v>
      </c>
      <c r="AA549">
        <v>9</v>
      </c>
      <c r="AB549">
        <v>3</v>
      </c>
      <c r="AC549">
        <v>0</v>
      </c>
      <c r="AD549">
        <v>10</v>
      </c>
      <c r="AE549">
        <v>0</v>
      </c>
      <c r="AF549">
        <v>3</v>
      </c>
      <c r="AG549">
        <v>2</v>
      </c>
      <c r="AH549">
        <v>0</v>
      </c>
      <c r="AI549" t="s">
        <v>650</v>
      </c>
      <c r="AJ549">
        <v>45.760288000000003</v>
      </c>
      <c r="AK549" t="s">
        <v>651</v>
      </c>
      <c r="AL549">
        <v>-89.332515999999998</v>
      </c>
      <c r="AM549">
        <v>100</v>
      </c>
      <c r="AN549">
        <v>10800</v>
      </c>
      <c r="AO549" t="s">
        <v>118</v>
      </c>
      <c r="AP549">
        <v>121</v>
      </c>
      <c r="AQ549">
        <v>108</v>
      </c>
      <c r="AR549">
        <v>2048</v>
      </c>
      <c r="AZ549">
        <v>1200</v>
      </c>
      <c r="BA549">
        <v>1</v>
      </c>
      <c r="BB549" t="str">
        <f t="shared" si="27"/>
        <v xml:space="preserve">N690LS  </v>
      </c>
      <c r="BC549">
        <v>1</v>
      </c>
      <c r="BE549">
        <v>0</v>
      </c>
      <c r="BF549">
        <v>0</v>
      </c>
      <c r="BG549">
        <v>0</v>
      </c>
      <c r="BH549">
        <v>11075</v>
      </c>
      <c r="BI549">
        <v>1</v>
      </c>
      <c r="BJ549">
        <v>1</v>
      </c>
      <c r="BK549">
        <v>1</v>
      </c>
      <c r="BL549">
        <v>0</v>
      </c>
      <c r="BO549">
        <v>0</v>
      </c>
      <c r="BP549">
        <v>0</v>
      </c>
      <c r="BW549" t="str">
        <f>"13:55:03.848"</f>
        <v>13:55:03.848</v>
      </c>
      <c r="CJ549">
        <v>0</v>
      </c>
      <c r="CK549">
        <v>2</v>
      </c>
      <c r="CL549">
        <v>0</v>
      </c>
      <c r="CM549">
        <v>2</v>
      </c>
      <c r="CN549">
        <v>0</v>
      </c>
      <c r="CO549">
        <v>7</v>
      </c>
      <c r="CP549" t="s">
        <v>119</v>
      </c>
      <c r="CQ549">
        <v>197</v>
      </c>
      <c r="CR549">
        <v>2</v>
      </c>
      <c r="CW549">
        <v>2334243</v>
      </c>
      <c r="CY549">
        <v>1</v>
      </c>
      <c r="CZ549">
        <v>0</v>
      </c>
      <c r="DA549">
        <v>0</v>
      </c>
      <c r="DB549">
        <v>0</v>
      </c>
      <c r="DC549">
        <v>0</v>
      </c>
      <c r="DD549">
        <v>1</v>
      </c>
      <c r="DE549">
        <v>0</v>
      </c>
      <c r="DF549">
        <v>0</v>
      </c>
      <c r="DG549">
        <v>0</v>
      </c>
      <c r="DH549">
        <v>0</v>
      </c>
      <c r="DI549">
        <v>0</v>
      </c>
    </row>
    <row r="550" spans="1:113" x14ac:dyDescent="0.3">
      <c r="A550" t="str">
        <f>"09/28/2021 13:55:04.107"</f>
        <v>09/28/2021 13:55:04.107</v>
      </c>
      <c r="C550" t="str">
        <f t="shared" si="26"/>
        <v>FFDFD3C0</v>
      </c>
      <c r="D550" t="s">
        <v>120</v>
      </c>
      <c r="E550">
        <v>12</v>
      </c>
      <c r="F550">
        <v>1012</v>
      </c>
      <c r="G550" t="s">
        <v>114</v>
      </c>
      <c r="J550" t="s">
        <v>121</v>
      </c>
      <c r="K550">
        <v>0</v>
      </c>
      <c r="L550">
        <v>3</v>
      </c>
      <c r="M550">
        <v>0</v>
      </c>
      <c r="N550">
        <v>2</v>
      </c>
      <c r="O550">
        <v>1</v>
      </c>
      <c r="P550">
        <v>0</v>
      </c>
      <c r="Q550">
        <v>0</v>
      </c>
      <c r="S550" t="str">
        <f>"13:55:03.844"</f>
        <v>13:55:03.844</v>
      </c>
      <c r="T550" t="str">
        <f>"13:55:03.344"</f>
        <v>13:55:03.344</v>
      </c>
      <c r="U550" t="str">
        <f t="shared" si="28"/>
        <v>A92BC1</v>
      </c>
      <c r="V550">
        <v>0</v>
      </c>
      <c r="W550">
        <v>0</v>
      </c>
      <c r="X550">
        <v>2</v>
      </c>
      <c r="Z550">
        <v>0</v>
      </c>
      <c r="AA550">
        <v>9</v>
      </c>
      <c r="AB550">
        <v>3</v>
      </c>
      <c r="AC550">
        <v>0</v>
      </c>
      <c r="AD550">
        <v>10</v>
      </c>
      <c r="AE550">
        <v>0</v>
      </c>
      <c r="AF550">
        <v>3</v>
      </c>
      <c r="AG550">
        <v>2</v>
      </c>
      <c r="AH550">
        <v>0</v>
      </c>
      <c r="AI550" t="s">
        <v>650</v>
      </c>
      <c r="AJ550">
        <v>45.760288000000003</v>
      </c>
      <c r="AK550" t="s">
        <v>651</v>
      </c>
      <c r="AL550">
        <v>-89.332515999999998</v>
      </c>
      <c r="AM550">
        <v>100</v>
      </c>
      <c r="AN550">
        <v>10800</v>
      </c>
      <c r="AO550" t="s">
        <v>118</v>
      </c>
      <c r="AP550">
        <v>121</v>
      </c>
      <c r="AQ550">
        <v>108</v>
      </c>
      <c r="AR550">
        <v>2048</v>
      </c>
      <c r="AZ550">
        <v>1200</v>
      </c>
      <c r="BA550">
        <v>1</v>
      </c>
      <c r="BB550" t="str">
        <f t="shared" si="27"/>
        <v xml:space="preserve">N690LS  </v>
      </c>
      <c r="BC550">
        <v>1</v>
      </c>
      <c r="BE550">
        <v>0</v>
      </c>
      <c r="BF550">
        <v>0</v>
      </c>
      <c r="BG550">
        <v>0</v>
      </c>
      <c r="BH550">
        <v>11075</v>
      </c>
      <c r="BI550">
        <v>1</v>
      </c>
      <c r="BJ550">
        <v>1</v>
      </c>
      <c r="BK550">
        <v>1</v>
      </c>
      <c r="BL550">
        <v>0</v>
      </c>
      <c r="BO550">
        <v>0</v>
      </c>
      <c r="BP550">
        <v>0</v>
      </c>
      <c r="BW550" t="str">
        <f>"13:55:03.848"</f>
        <v>13:55:03.848</v>
      </c>
      <c r="CJ550">
        <v>0</v>
      </c>
      <c r="CK550">
        <v>2</v>
      </c>
      <c r="CL550">
        <v>0</v>
      </c>
      <c r="CM550">
        <v>2</v>
      </c>
      <c r="CN550">
        <v>0</v>
      </c>
      <c r="CO550">
        <v>7</v>
      </c>
      <c r="CP550" t="s">
        <v>119</v>
      </c>
      <c r="CQ550">
        <v>197</v>
      </c>
      <c r="CR550">
        <v>2</v>
      </c>
      <c r="CW550">
        <v>2334243</v>
      </c>
      <c r="CY550">
        <v>1</v>
      </c>
      <c r="CZ550">
        <v>0</v>
      </c>
      <c r="DA550">
        <v>1</v>
      </c>
      <c r="DB550">
        <v>0</v>
      </c>
      <c r="DC550">
        <v>0</v>
      </c>
      <c r="DD550">
        <v>1</v>
      </c>
      <c r="DE550">
        <v>0</v>
      </c>
      <c r="DF550">
        <v>0</v>
      </c>
      <c r="DG550">
        <v>0</v>
      </c>
      <c r="DH550">
        <v>0</v>
      </c>
      <c r="DI550">
        <v>0</v>
      </c>
    </row>
    <row r="551" spans="1:113" x14ac:dyDescent="0.3">
      <c r="A551" t="str">
        <f>"09/28/2021 13:55:04.904"</f>
        <v>09/28/2021 13:55:04.904</v>
      </c>
      <c r="C551" t="str">
        <f t="shared" ref="C551:C614" si="29">"FFDFD3C0"</f>
        <v>FFDFD3C0</v>
      </c>
      <c r="D551" t="s">
        <v>120</v>
      </c>
      <c r="E551">
        <v>12</v>
      </c>
      <c r="F551">
        <v>1012</v>
      </c>
      <c r="G551" t="s">
        <v>114</v>
      </c>
      <c r="J551" t="s">
        <v>121</v>
      </c>
      <c r="K551">
        <v>0</v>
      </c>
      <c r="L551">
        <v>3</v>
      </c>
      <c r="M551">
        <v>0</v>
      </c>
      <c r="N551">
        <v>2</v>
      </c>
      <c r="O551">
        <v>1</v>
      </c>
      <c r="P551">
        <v>0</v>
      </c>
      <c r="Q551">
        <v>0</v>
      </c>
      <c r="S551" t="str">
        <f>"13:55:04.734"</f>
        <v>13:55:04.734</v>
      </c>
      <c r="T551" t="str">
        <f>"13:55:04.334"</f>
        <v>13:55:04.334</v>
      </c>
      <c r="U551" t="str">
        <f t="shared" si="28"/>
        <v>A92BC1</v>
      </c>
      <c r="V551">
        <v>0</v>
      </c>
      <c r="W551">
        <v>0</v>
      </c>
      <c r="X551">
        <v>2</v>
      </c>
      <c r="Z551">
        <v>0</v>
      </c>
      <c r="AA551">
        <v>9</v>
      </c>
      <c r="AB551">
        <v>3</v>
      </c>
      <c r="AC551">
        <v>0</v>
      </c>
      <c r="AD551">
        <v>10</v>
      </c>
      <c r="AE551">
        <v>0</v>
      </c>
      <c r="AF551">
        <v>3</v>
      </c>
      <c r="AG551">
        <v>2</v>
      </c>
      <c r="AH551">
        <v>0</v>
      </c>
      <c r="AI551" t="s">
        <v>652</v>
      </c>
      <c r="AJ551">
        <v>45.760717</v>
      </c>
      <c r="AK551" t="s">
        <v>653</v>
      </c>
      <c r="AL551">
        <v>-89.331787000000006</v>
      </c>
      <c r="AM551">
        <v>100</v>
      </c>
      <c r="AN551">
        <v>10800</v>
      </c>
      <c r="AO551" t="s">
        <v>118</v>
      </c>
      <c r="AP551">
        <v>121</v>
      </c>
      <c r="AQ551">
        <v>108</v>
      </c>
      <c r="AR551">
        <v>2048</v>
      </c>
      <c r="AZ551">
        <v>1200</v>
      </c>
      <c r="BA551">
        <v>1</v>
      </c>
      <c r="BB551" t="str">
        <f t="shared" ref="BB551:BB614" si="30">"N690LS  "</f>
        <v xml:space="preserve">N690LS  </v>
      </c>
      <c r="BC551">
        <v>1</v>
      </c>
      <c r="BE551">
        <v>0</v>
      </c>
      <c r="BF551">
        <v>0</v>
      </c>
      <c r="BG551">
        <v>0</v>
      </c>
      <c r="BH551">
        <v>11125</v>
      </c>
      <c r="BI551">
        <v>1</v>
      </c>
      <c r="BJ551">
        <v>1</v>
      </c>
      <c r="BK551">
        <v>1</v>
      </c>
      <c r="BL551">
        <v>0</v>
      </c>
      <c r="BO551">
        <v>0</v>
      </c>
      <c r="BP551">
        <v>0</v>
      </c>
      <c r="BW551" t="str">
        <f>"13:55:04.739"</f>
        <v>13:55:04.739</v>
      </c>
      <c r="CJ551">
        <v>0</v>
      </c>
      <c r="CK551">
        <v>2</v>
      </c>
      <c r="CL551">
        <v>0</v>
      </c>
      <c r="CM551">
        <v>2</v>
      </c>
      <c r="CN551">
        <v>0</v>
      </c>
      <c r="CO551">
        <v>7</v>
      </c>
      <c r="CP551" t="s">
        <v>119</v>
      </c>
      <c r="CQ551">
        <v>197</v>
      </c>
      <c r="CR551">
        <v>2</v>
      </c>
      <c r="CW551">
        <v>2335044</v>
      </c>
      <c r="CY551">
        <v>1</v>
      </c>
      <c r="CZ551">
        <v>0</v>
      </c>
      <c r="DA551">
        <v>0</v>
      </c>
      <c r="DB551">
        <v>0</v>
      </c>
      <c r="DC551">
        <v>0</v>
      </c>
      <c r="DD551">
        <v>1</v>
      </c>
      <c r="DE551">
        <v>0</v>
      </c>
      <c r="DF551">
        <v>0</v>
      </c>
      <c r="DG551">
        <v>0</v>
      </c>
      <c r="DH551">
        <v>0</v>
      </c>
      <c r="DI551">
        <v>0</v>
      </c>
    </row>
    <row r="552" spans="1:113" x14ac:dyDescent="0.3">
      <c r="A552" t="str">
        <f>"09/28/2021 13:55:04.951"</f>
        <v>09/28/2021 13:55:04.951</v>
      </c>
      <c r="C552" t="str">
        <f t="shared" si="29"/>
        <v>FFDFD3C0</v>
      </c>
      <c r="D552" t="s">
        <v>113</v>
      </c>
      <c r="E552">
        <v>7</v>
      </c>
      <c r="H552">
        <v>170</v>
      </c>
      <c r="I552" t="s">
        <v>114</v>
      </c>
      <c r="J552" t="s">
        <v>115</v>
      </c>
      <c r="K552">
        <v>0</v>
      </c>
      <c r="L552">
        <v>3</v>
      </c>
      <c r="M552">
        <v>0</v>
      </c>
      <c r="N552">
        <v>2</v>
      </c>
      <c r="O552">
        <v>1</v>
      </c>
      <c r="P552">
        <v>0</v>
      </c>
      <c r="Q552">
        <v>0</v>
      </c>
      <c r="S552" t="str">
        <f>"13:55:04.734"</f>
        <v>13:55:04.734</v>
      </c>
      <c r="T552" t="str">
        <f>"13:55:04.334"</f>
        <v>13:55:04.334</v>
      </c>
      <c r="U552" t="str">
        <f t="shared" si="28"/>
        <v>A92BC1</v>
      </c>
      <c r="V552">
        <v>0</v>
      </c>
      <c r="W552">
        <v>0</v>
      </c>
      <c r="X552">
        <v>2</v>
      </c>
      <c r="Z552">
        <v>0</v>
      </c>
      <c r="AA552">
        <v>9</v>
      </c>
      <c r="AB552">
        <v>3</v>
      </c>
      <c r="AC552">
        <v>0</v>
      </c>
      <c r="AD552">
        <v>10</v>
      </c>
      <c r="AE552">
        <v>0</v>
      </c>
      <c r="AF552">
        <v>3</v>
      </c>
      <c r="AG552">
        <v>2</v>
      </c>
      <c r="AH552">
        <v>0</v>
      </c>
      <c r="AI552" t="s">
        <v>652</v>
      </c>
      <c r="AJ552">
        <v>45.760717</v>
      </c>
      <c r="AK552" t="s">
        <v>653</v>
      </c>
      <c r="AL552">
        <v>-89.331787000000006</v>
      </c>
      <c r="AM552">
        <v>100</v>
      </c>
      <c r="AN552">
        <v>10800</v>
      </c>
      <c r="AO552" t="s">
        <v>118</v>
      </c>
      <c r="AP552">
        <v>121</v>
      </c>
      <c r="AQ552">
        <v>108</v>
      </c>
      <c r="AR552">
        <v>2048</v>
      </c>
      <c r="AZ552">
        <v>1200</v>
      </c>
      <c r="BA552">
        <v>1</v>
      </c>
      <c r="BB552" t="str">
        <f t="shared" si="30"/>
        <v xml:space="preserve">N690LS  </v>
      </c>
      <c r="BC552">
        <v>1</v>
      </c>
      <c r="BE552">
        <v>0</v>
      </c>
      <c r="BF552">
        <v>0</v>
      </c>
      <c r="BG552">
        <v>0</v>
      </c>
      <c r="BH552">
        <v>11125</v>
      </c>
      <c r="BI552">
        <v>1</v>
      </c>
      <c r="BJ552">
        <v>1</v>
      </c>
      <c r="BK552">
        <v>1</v>
      </c>
      <c r="BL552">
        <v>0</v>
      </c>
      <c r="BO552">
        <v>0</v>
      </c>
      <c r="BP552">
        <v>0</v>
      </c>
      <c r="BW552" t="str">
        <f>"13:55:04.739"</f>
        <v>13:55:04.739</v>
      </c>
      <c r="CJ552">
        <v>0</v>
      </c>
      <c r="CK552">
        <v>2</v>
      </c>
      <c r="CL552">
        <v>0</v>
      </c>
      <c r="CM552">
        <v>2</v>
      </c>
      <c r="CN552">
        <v>0</v>
      </c>
      <c r="CO552">
        <v>7</v>
      </c>
      <c r="CP552" t="s">
        <v>119</v>
      </c>
      <c r="CQ552">
        <v>197</v>
      </c>
      <c r="CR552">
        <v>2</v>
      </c>
      <c r="CW552">
        <v>2335044</v>
      </c>
      <c r="CY552">
        <v>1</v>
      </c>
      <c r="CZ552">
        <v>0</v>
      </c>
      <c r="DA552">
        <v>1</v>
      </c>
      <c r="DB552">
        <v>0</v>
      </c>
      <c r="DC552">
        <v>0</v>
      </c>
      <c r="DD552">
        <v>1</v>
      </c>
      <c r="DE552">
        <v>0</v>
      </c>
      <c r="DF552">
        <v>0</v>
      </c>
      <c r="DG552">
        <v>0</v>
      </c>
      <c r="DH552">
        <v>0</v>
      </c>
      <c r="DI552">
        <v>0</v>
      </c>
    </row>
    <row r="553" spans="1:113" x14ac:dyDescent="0.3">
      <c r="A553" t="str">
        <f>"09/28/2021 13:55:06.107"</f>
        <v>09/28/2021 13:55:06.107</v>
      </c>
      <c r="C553" t="str">
        <f t="shared" si="29"/>
        <v>FFDFD3C0</v>
      </c>
      <c r="D553" t="s">
        <v>113</v>
      </c>
      <c r="E553">
        <v>7</v>
      </c>
      <c r="H553">
        <v>170</v>
      </c>
      <c r="I553" t="s">
        <v>114</v>
      </c>
      <c r="J553" t="s">
        <v>115</v>
      </c>
      <c r="K553">
        <v>0</v>
      </c>
      <c r="L553">
        <v>3</v>
      </c>
      <c r="M553">
        <v>0</v>
      </c>
      <c r="N553">
        <v>2</v>
      </c>
      <c r="O553">
        <v>1</v>
      </c>
      <c r="P553">
        <v>0</v>
      </c>
      <c r="Q553">
        <v>0</v>
      </c>
      <c r="S553" t="str">
        <f>"13:55:05.906"</f>
        <v>13:55:05.906</v>
      </c>
      <c r="T553" t="str">
        <f>"13:55:05.406"</f>
        <v>13:55:05.406</v>
      </c>
      <c r="U553" t="str">
        <f t="shared" si="28"/>
        <v>A92BC1</v>
      </c>
      <c r="V553">
        <v>0</v>
      </c>
      <c r="W553">
        <v>0</v>
      </c>
      <c r="X553">
        <v>2</v>
      </c>
      <c r="Z553">
        <v>0</v>
      </c>
      <c r="AA553">
        <v>9</v>
      </c>
      <c r="AB553">
        <v>3</v>
      </c>
      <c r="AC553">
        <v>0</v>
      </c>
      <c r="AD553">
        <v>10</v>
      </c>
      <c r="AE553">
        <v>0</v>
      </c>
      <c r="AF553">
        <v>3</v>
      </c>
      <c r="AG553">
        <v>2</v>
      </c>
      <c r="AH553">
        <v>0</v>
      </c>
      <c r="AI553" t="s">
        <v>654</v>
      </c>
      <c r="AJ553">
        <v>45.761274999999998</v>
      </c>
      <c r="AK553" t="s">
        <v>655</v>
      </c>
      <c r="AL553">
        <v>-89.330928</v>
      </c>
      <c r="AM553">
        <v>100</v>
      </c>
      <c r="AN553">
        <v>10800</v>
      </c>
      <c r="AO553" t="s">
        <v>118</v>
      </c>
      <c r="AP553">
        <v>121</v>
      </c>
      <c r="AQ553">
        <v>107</v>
      </c>
      <c r="AR553">
        <v>2048</v>
      </c>
      <c r="AZ553">
        <v>1200</v>
      </c>
      <c r="BA553">
        <v>1</v>
      </c>
      <c r="BB553" t="str">
        <f t="shared" si="30"/>
        <v xml:space="preserve">N690LS  </v>
      </c>
      <c r="BC553">
        <v>1</v>
      </c>
      <c r="BE553">
        <v>0</v>
      </c>
      <c r="BF553">
        <v>0</v>
      </c>
      <c r="BG553">
        <v>0</v>
      </c>
      <c r="BH553">
        <v>11150</v>
      </c>
      <c r="BI553">
        <v>1</v>
      </c>
      <c r="BJ553">
        <v>1</v>
      </c>
      <c r="BK553">
        <v>1</v>
      </c>
      <c r="BL553">
        <v>0</v>
      </c>
      <c r="BO553">
        <v>0</v>
      </c>
      <c r="BP553">
        <v>0</v>
      </c>
      <c r="BW553" t="str">
        <f>"13:55:05.911"</f>
        <v>13:55:05.911</v>
      </c>
      <c r="CJ553">
        <v>0</v>
      </c>
      <c r="CK553">
        <v>2</v>
      </c>
      <c r="CL553">
        <v>0</v>
      </c>
      <c r="CM553">
        <v>2</v>
      </c>
      <c r="CN553">
        <v>0</v>
      </c>
      <c r="CO553">
        <v>7</v>
      </c>
      <c r="CP553" t="s">
        <v>119</v>
      </c>
      <c r="CQ553">
        <v>197</v>
      </c>
      <c r="CR553">
        <v>2</v>
      </c>
      <c r="CW553">
        <v>2336112</v>
      </c>
      <c r="CY553">
        <v>1</v>
      </c>
      <c r="CZ553">
        <v>0</v>
      </c>
      <c r="DA553">
        <v>0</v>
      </c>
      <c r="DB553">
        <v>0</v>
      </c>
      <c r="DC553">
        <v>0</v>
      </c>
      <c r="DD553">
        <v>1</v>
      </c>
      <c r="DE553">
        <v>0</v>
      </c>
      <c r="DF553">
        <v>0</v>
      </c>
      <c r="DG553">
        <v>0</v>
      </c>
      <c r="DH553">
        <v>0</v>
      </c>
      <c r="DI553">
        <v>0</v>
      </c>
    </row>
    <row r="554" spans="1:113" x14ac:dyDescent="0.3">
      <c r="A554" t="str">
        <f>"09/28/2021 13:55:06.185"</f>
        <v>09/28/2021 13:55:06.185</v>
      </c>
      <c r="C554" t="str">
        <f t="shared" si="29"/>
        <v>FFDFD3C0</v>
      </c>
      <c r="D554" t="s">
        <v>120</v>
      </c>
      <c r="E554">
        <v>12</v>
      </c>
      <c r="F554">
        <v>1012</v>
      </c>
      <c r="G554" t="s">
        <v>114</v>
      </c>
      <c r="J554" t="s">
        <v>121</v>
      </c>
      <c r="K554">
        <v>0</v>
      </c>
      <c r="L554">
        <v>3</v>
      </c>
      <c r="M554">
        <v>0</v>
      </c>
      <c r="N554">
        <v>2</v>
      </c>
      <c r="O554">
        <v>1</v>
      </c>
      <c r="P554">
        <v>0</v>
      </c>
      <c r="Q554">
        <v>0</v>
      </c>
      <c r="S554" t="str">
        <f>"13:55:05.906"</f>
        <v>13:55:05.906</v>
      </c>
      <c r="T554" t="str">
        <f>"13:55:05.406"</f>
        <v>13:55:05.406</v>
      </c>
      <c r="U554" t="str">
        <f t="shared" si="28"/>
        <v>A92BC1</v>
      </c>
      <c r="V554">
        <v>0</v>
      </c>
      <c r="W554">
        <v>0</v>
      </c>
      <c r="X554">
        <v>2</v>
      </c>
      <c r="Z554">
        <v>0</v>
      </c>
      <c r="AA554">
        <v>9</v>
      </c>
      <c r="AB554">
        <v>3</v>
      </c>
      <c r="AC554">
        <v>0</v>
      </c>
      <c r="AD554">
        <v>10</v>
      </c>
      <c r="AE554">
        <v>0</v>
      </c>
      <c r="AF554">
        <v>3</v>
      </c>
      <c r="AG554">
        <v>2</v>
      </c>
      <c r="AH554">
        <v>0</v>
      </c>
      <c r="AI554" t="s">
        <v>654</v>
      </c>
      <c r="AJ554">
        <v>45.761274999999998</v>
      </c>
      <c r="AK554" t="s">
        <v>655</v>
      </c>
      <c r="AL554">
        <v>-89.330928</v>
      </c>
      <c r="AM554">
        <v>100</v>
      </c>
      <c r="AN554">
        <v>10800</v>
      </c>
      <c r="AO554" t="s">
        <v>118</v>
      </c>
      <c r="AP554">
        <v>121</v>
      </c>
      <c r="AQ554">
        <v>107</v>
      </c>
      <c r="AR554">
        <v>2048</v>
      </c>
      <c r="AZ554">
        <v>1200</v>
      </c>
      <c r="BA554">
        <v>1</v>
      </c>
      <c r="BB554" t="str">
        <f t="shared" si="30"/>
        <v xml:space="preserve">N690LS  </v>
      </c>
      <c r="BC554">
        <v>1</v>
      </c>
      <c r="BE554">
        <v>0</v>
      </c>
      <c r="BF554">
        <v>0</v>
      </c>
      <c r="BG554">
        <v>0</v>
      </c>
      <c r="BH554">
        <v>11150</v>
      </c>
      <c r="BI554">
        <v>1</v>
      </c>
      <c r="BJ554">
        <v>1</v>
      </c>
      <c r="BK554">
        <v>1</v>
      </c>
      <c r="BL554">
        <v>0</v>
      </c>
      <c r="BO554">
        <v>0</v>
      </c>
      <c r="BP554">
        <v>0</v>
      </c>
      <c r="BW554" t="str">
        <f>"13:55:05.911"</f>
        <v>13:55:05.911</v>
      </c>
      <c r="CJ554">
        <v>0</v>
      </c>
      <c r="CK554">
        <v>2</v>
      </c>
      <c r="CL554">
        <v>0</v>
      </c>
      <c r="CM554">
        <v>2</v>
      </c>
      <c r="CN554">
        <v>0</v>
      </c>
      <c r="CO554">
        <v>7</v>
      </c>
      <c r="CP554" t="s">
        <v>119</v>
      </c>
      <c r="CQ554">
        <v>197</v>
      </c>
      <c r="CR554">
        <v>2</v>
      </c>
      <c r="CW554">
        <v>2336112</v>
      </c>
      <c r="CY554">
        <v>1</v>
      </c>
      <c r="CZ554">
        <v>0</v>
      </c>
      <c r="DA554">
        <v>1</v>
      </c>
      <c r="DB554">
        <v>0</v>
      </c>
      <c r="DC554">
        <v>0</v>
      </c>
      <c r="DD554">
        <v>1</v>
      </c>
      <c r="DE554">
        <v>0</v>
      </c>
      <c r="DF554">
        <v>0</v>
      </c>
      <c r="DG554">
        <v>0</v>
      </c>
      <c r="DH554">
        <v>0</v>
      </c>
      <c r="DI554">
        <v>0</v>
      </c>
    </row>
    <row r="555" spans="1:113" x14ac:dyDescent="0.3">
      <c r="A555" t="str">
        <f>"09/28/2021 13:55:07.026"</f>
        <v>09/28/2021 13:55:07.026</v>
      </c>
      <c r="C555" t="str">
        <f t="shared" si="29"/>
        <v>FFDFD3C0</v>
      </c>
      <c r="D555" t="s">
        <v>113</v>
      </c>
      <c r="E555">
        <v>7</v>
      </c>
      <c r="H555">
        <v>170</v>
      </c>
      <c r="I555" t="s">
        <v>114</v>
      </c>
      <c r="J555" t="s">
        <v>115</v>
      </c>
      <c r="K555">
        <v>0</v>
      </c>
      <c r="L555">
        <v>3</v>
      </c>
      <c r="M555">
        <v>0</v>
      </c>
      <c r="N555">
        <v>2</v>
      </c>
      <c r="O555">
        <v>1</v>
      </c>
      <c r="P555">
        <v>0</v>
      </c>
      <c r="Q555">
        <v>0</v>
      </c>
      <c r="S555" t="str">
        <f>"13:55:06.836"</f>
        <v>13:55:06.836</v>
      </c>
      <c r="T555" t="str">
        <f>"13:55:06.436"</f>
        <v>13:55:06.436</v>
      </c>
      <c r="U555" t="str">
        <f t="shared" si="28"/>
        <v>A92BC1</v>
      </c>
      <c r="V555">
        <v>0</v>
      </c>
      <c r="W555">
        <v>0</v>
      </c>
      <c r="X555">
        <v>2</v>
      </c>
      <c r="Z555">
        <v>0</v>
      </c>
      <c r="AA555">
        <v>9</v>
      </c>
      <c r="AB555">
        <v>3</v>
      </c>
      <c r="AC555">
        <v>0</v>
      </c>
      <c r="AD555">
        <v>10</v>
      </c>
      <c r="AE555">
        <v>0</v>
      </c>
      <c r="AF555">
        <v>3</v>
      </c>
      <c r="AG555">
        <v>2</v>
      </c>
      <c r="AH555">
        <v>0</v>
      </c>
      <c r="AI555" t="s">
        <v>656</v>
      </c>
      <c r="AJ555">
        <v>45.761726000000003</v>
      </c>
      <c r="AK555" t="s">
        <v>657</v>
      </c>
      <c r="AL555">
        <v>-89.330112999999997</v>
      </c>
      <c r="AM555">
        <v>100</v>
      </c>
      <c r="AN555">
        <v>10900</v>
      </c>
      <c r="AO555" t="s">
        <v>118</v>
      </c>
      <c r="AP555">
        <v>121</v>
      </c>
      <c r="AQ555">
        <v>107</v>
      </c>
      <c r="AR555">
        <v>2048</v>
      </c>
      <c r="AZ555">
        <v>1200</v>
      </c>
      <c r="BA555">
        <v>1</v>
      </c>
      <c r="BB555" t="str">
        <f t="shared" si="30"/>
        <v xml:space="preserve">N690LS  </v>
      </c>
      <c r="BC555">
        <v>1</v>
      </c>
      <c r="BE555">
        <v>0</v>
      </c>
      <c r="BF555">
        <v>0</v>
      </c>
      <c r="BG555">
        <v>0</v>
      </c>
      <c r="BH555">
        <v>11175</v>
      </c>
      <c r="BI555">
        <v>1</v>
      </c>
      <c r="BJ555">
        <v>1</v>
      </c>
      <c r="BK555">
        <v>1</v>
      </c>
      <c r="BL555">
        <v>0</v>
      </c>
      <c r="BO555">
        <v>0</v>
      </c>
      <c r="BP555">
        <v>0</v>
      </c>
      <c r="BW555" t="str">
        <f>"13:55:06.836"</f>
        <v>13:55:06.836</v>
      </c>
      <c r="CJ555">
        <v>0</v>
      </c>
      <c r="CK555">
        <v>2</v>
      </c>
      <c r="CL555">
        <v>0</v>
      </c>
      <c r="CM555">
        <v>2</v>
      </c>
      <c r="CN555">
        <v>0</v>
      </c>
      <c r="CO555">
        <v>7</v>
      </c>
      <c r="CP555" t="s">
        <v>119</v>
      </c>
      <c r="CQ555">
        <v>197</v>
      </c>
      <c r="CR555">
        <v>2</v>
      </c>
      <c r="CW555">
        <v>2336924</v>
      </c>
      <c r="CY555">
        <v>1</v>
      </c>
      <c r="CZ555">
        <v>0</v>
      </c>
      <c r="DA555">
        <v>0</v>
      </c>
      <c r="DB555">
        <v>0</v>
      </c>
      <c r="DC555">
        <v>0</v>
      </c>
      <c r="DD555">
        <v>1</v>
      </c>
      <c r="DE555">
        <v>0</v>
      </c>
      <c r="DF555">
        <v>0</v>
      </c>
      <c r="DG555">
        <v>0</v>
      </c>
      <c r="DH555">
        <v>0</v>
      </c>
      <c r="DI555">
        <v>0</v>
      </c>
    </row>
    <row r="556" spans="1:113" x14ac:dyDescent="0.3">
      <c r="A556" t="str">
        <f>"09/28/2021 13:55:07.026"</f>
        <v>09/28/2021 13:55:07.026</v>
      </c>
      <c r="C556" t="str">
        <f t="shared" si="29"/>
        <v>FFDFD3C0</v>
      </c>
      <c r="D556" t="s">
        <v>120</v>
      </c>
      <c r="E556">
        <v>12</v>
      </c>
      <c r="F556">
        <v>1012</v>
      </c>
      <c r="G556" t="s">
        <v>114</v>
      </c>
      <c r="J556" t="s">
        <v>121</v>
      </c>
      <c r="K556">
        <v>0</v>
      </c>
      <c r="L556">
        <v>3</v>
      </c>
      <c r="M556">
        <v>0</v>
      </c>
      <c r="N556">
        <v>2</v>
      </c>
      <c r="O556">
        <v>1</v>
      </c>
      <c r="P556">
        <v>0</v>
      </c>
      <c r="Q556">
        <v>0</v>
      </c>
      <c r="S556" t="str">
        <f>"13:55:06.836"</f>
        <v>13:55:06.836</v>
      </c>
      <c r="T556" t="str">
        <f>"13:55:06.436"</f>
        <v>13:55:06.436</v>
      </c>
      <c r="U556" t="str">
        <f t="shared" si="28"/>
        <v>A92BC1</v>
      </c>
      <c r="V556">
        <v>0</v>
      </c>
      <c r="W556">
        <v>0</v>
      </c>
      <c r="X556">
        <v>2</v>
      </c>
      <c r="Z556">
        <v>0</v>
      </c>
      <c r="AA556">
        <v>9</v>
      </c>
      <c r="AB556">
        <v>3</v>
      </c>
      <c r="AC556">
        <v>0</v>
      </c>
      <c r="AD556">
        <v>10</v>
      </c>
      <c r="AE556">
        <v>0</v>
      </c>
      <c r="AF556">
        <v>3</v>
      </c>
      <c r="AG556">
        <v>2</v>
      </c>
      <c r="AH556">
        <v>0</v>
      </c>
      <c r="AI556" t="s">
        <v>656</v>
      </c>
      <c r="AJ556">
        <v>45.761726000000003</v>
      </c>
      <c r="AK556" t="s">
        <v>657</v>
      </c>
      <c r="AL556">
        <v>-89.330112999999997</v>
      </c>
      <c r="AM556">
        <v>100</v>
      </c>
      <c r="AN556">
        <v>10900</v>
      </c>
      <c r="AO556" t="s">
        <v>118</v>
      </c>
      <c r="AP556">
        <v>121</v>
      </c>
      <c r="AQ556">
        <v>107</v>
      </c>
      <c r="AR556">
        <v>2048</v>
      </c>
      <c r="AZ556">
        <v>1200</v>
      </c>
      <c r="BA556">
        <v>1</v>
      </c>
      <c r="BB556" t="str">
        <f t="shared" si="30"/>
        <v xml:space="preserve">N690LS  </v>
      </c>
      <c r="BC556">
        <v>1</v>
      </c>
      <c r="BE556">
        <v>0</v>
      </c>
      <c r="BF556">
        <v>0</v>
      </c>
      <c r="BG556">
        <v>0</v>
      </c>
      <c r="BH556">
        <v>11175</v>
      </c>
      <c r="BI556">
        <v>1</v>
      </c>
      <c r="BJ556">
        <v>1</v>
      </c>
      <c r="BK556">
        <v>1</v>
      </c>
      <c r="BL556">
        <v>0</v>
      </c>
      <c r="BO556">
        <v>0</v>
      </c>
      <c r="BP556">
        <v>0</v>
      </c>
      <c r="BW556" t="str">
        <f>"13:55:06.836"</f>
        <v>13:55:06.836</v>
      </c>
      <c r="CJ556">
        <v>0</v>
      </c>
      <c r="CK556">
        <v>2</v>
      </c>
      <c r="CL556">
        <v>0</v>
      </c>
      <c r="CM556">
        <v>2</v>
      </c>
      <c r="CN556">
        <v>0</v>
      </c>
      <c r="CO556">
        <v>7</v>
      </c>
      <c r="CP556" t="s">
        <v>119</v>
      </c>
      <c r="CQ556">
        <v>197</v>
      </c>
      <c r="CR556">
        <v>2</v>
      </c>
      <c r="CW556">
        <v>2336924</v>
      </c>
      <c r="CY556">
        <v>1</v>
      </c>
      <c r="CZ556">
        <v>0</v>
      </c>
      <c r="DA556">
        <v>1</v>
      </c>
      <c r="DB556">
        <v>0</v>
      </c>
      <c r="DC556">
        <v>0</v>
      </c>
      <c r="DD556">
        <v>1</v>
      </c>
      <c r="DE556">
        <v>0</v>
      </c>
      <c r="DF556">
        <v>0</v>
      </c>
      <c r="DG556">
        <v>0</v>
      </c>
      <c r="DH556">
        <v>0</v>
      </c>
      <c r="DI556">
        <v>0</v>
      </c>
    </row>
    <row r="557" spans="1:113" x14ac:dyDescent="0.3">
      <c r="A557" t="str">
        <f>"09/28/2021 13:55:07.869"</f>
        <v>09/28/2021 13:55:07.869</v>
      </c>
      <c r="C557" t="str">
        <f t="shared" si="29"/>
        <v>FFDFD3C0</v>
      </c>
      <c r="D557" t="s">
        <v>113</v>
      </c>
      <c r="E557">
        <v>7</v>
      </c>
      <c r="H557">
        <v>170</v>
      </c>
      <c r="I557" t="s">
        <v>114</v>
      </c>
      <c r="J557" t="s">
        <v>115</v>
      </c>
      <c r="K557">
        <v>0</v>
      </c>
      <c r="L557">
        <v>3</v>
      </c>
      <c r="M557">
        <v>0</v>
      </c>
      <c r="N557">
        <v>2</v>
      </c>
      <c r="O557">
        <v>1</v>
      </c>
      <c r="P557">
        <v>0</v>
      </c>
      <c r="Q557">
        <v>0</v>
      </c>
      <c r="S557" t="str">
        <f>"13:55:07.680"</f>
        <v>13:55:07.680</v>
      </c>
      <c r="T557" t="str">
        <f>"13:55:07.280"</f>
        <v>13:55:07.280</v>
      </c>
      <c r="U557" t="str">
        <f t="shared" si="28"/>
        <v>A92BC1</v>
      </c>
      <c r="V557">
        <v>0</v>
      </c>
      <c r="W557">
        <v>0</v>
      </c>
      <c r="X557">
        <v>2</v>
      </c>
      <c r="Z557">
        <v>0</v>
      </c>
      <c r="AA557">
        <v>9</v>
      </c>
      <c r="AB557">
        <v>3</v>
      </c>
      <c r="AC557">
        <v>0</v>
      </c>
      <c r="AD557">
        <v>10</v>
      </c>
      <c r="AE557">
        <v>0</v>
      </c>
      <c r="AF557">
        <v>3</v>
      </c>
      <c r="AG557">
        <v>2</v>
      </c>
      <c r="AH557">
        <v>0</v>
      </c>
      <c r="AI557" t="s">
        <v>658</v>
      </c>
      <c r="AJ557">
        <v>45.762155</v>
      </c>
      <c r="AK557" t="s">
        <v>659</v>
      </c>
      <c r="AL557">
        <v>-89.329491000000004</v>
      </c>
      <c r="AM557">
        <v>100</v>
      </c>
      <c r="AN557">
        <v>10900</v>
      </c>
      <c r="AO557" t="s">
        <v>118</v>
      </c>
      <c r="AP557">
        <v>121</v>
      </c>
      <c r="AQ557">
        <v>107</v>
      </c>
      <c r="AR557">
        <v>2048</v>
      </c>
      <c r="AZ557">
        <v>1200</v>
      </c>
      <c r="BA557">
        <v>1</v>
      </c>
      <c r="BB557" t="str">
        <f t="shared" si="30"/>
        <v xml:space="preserve">N690LS  </v>
      </c>
      <c r="BC557">
        <v>1</v>
      </c>
      <c r="BE557">
        <v>0</v>
      </c>
      <c r="BF557">
        <v>0</v>
      </c>
      <c r="BG557">
        <v>0</v>
      </c>
      <c r="BH557">
        <v>11225</v>
      </c>
      <c r="BI557">
        <v>1</v>
      </c>
      <c r="BJ557">
        <v>1</v>
      </c>
      <c r="BK557">
        <v>1</v>
      </c>
      <c r="BL557">
        <v>0</v>
      </c>
      <c r="BO557">
        <v>0</v>
      </c>
      <c r="BP557">
        <v>0</v>
      </c>
      <c r="BW557" t="str">
        <f>"13:55:07.685"</f>
        <v>13:55:07.685</v>
      </c>
      <c r="CJ557">
        <v>0</v>
      </c>
      <c r="CK557">
        <v>2</v>
      </c>
      <c r="CL557">
        <v>0</v>
      </c>
      <c r="CM557">
        <v>2</v>
      </c>
      <c r="CN557">
        <v>0</v>
      </c>
      <c r="CO557">
        <v>7</v>
      </c>
      <c r="CP557" t="s">
        <v>119</v>
      </c>
      <c r="CQ557">
        <v>197</v>
      </c>
      <c r="CR557">
        <v>2</v>
      </c>
      <c r="CW557">
        <v>2337687</v>
      </c>
      <c r="CY557">
        <v>1</v>
      </c>
      <c r="CZ557">
        <v>0</v>
      </c>
      <c r="DA557">
        <v>0</v>
      </c>
      <c r="DB557">
        <v>0</v>
      </c>
      <c r="DC557">
        <v>0</v>
      </c>
      <c r="DD557">
        <v>1</v>
      </c>
      <c r="DE557">
        <v>0</v>
      </c>
      <c r="DF557">
        <v>0</v>
      </c>
      <c r="DG557">
        <v>0</v>
      </c>
      <c r="DH557">
        <v>0</v>
      </c>
      <c r="DI557">
        <v>0</v>
      </c>
    </row>
    <row r="558" spans="1:113" x14ac:dyDescent="0.3">
      <c r="A558" t="str">
        <f>"09/28/2021 13:55:07.885"</f>
        <v>09/28/2021 13:55:07.885</v>
      </c>
      <c r="C558" t="str">
        <f t="shared" si="29"/>
        <v>FFDFD3C0</v>
      </c>
      <c r="D558" t="s">
        <v>120</v>
      </c>
      <c r="E558">
        <v>12</v>
      </c>
      <c r="F558">
        <v>1012</v>
      </c>
      <c r="G558" t="s">
        <v>114</v>
      </c>
      <c r="J558" t="s">
        <v>121</v>
      </c>
      <c r="K558">
        <v>0</v>
      </c>
      <c r="L558">
        <v>3</v>
      </c>
      <c r="M558">
        <v>0</v>
      </c>
      <c r="N558">
        <v>2</v>
      </c>
      <c r="O558">
        <v>1</v>
      </c>
      <c r="P558">
        <v>0</v>
      </c>
      <c r="Q558">
        <v>0</v>
      </c>
      <c r="S558" t="str">
        <f>"13:55:07.680"</f>
        <v>13:55:07.680</v>
      </c>
      <c r="T558" t="str">
        <f>"13:55:07.280"</f>
        <v>13:55:07.280</v>
      </c>
      <c r="U558" t="str">
        <f t="shared" si="28"/>
        <v>A92BC1</v>
      </c>
      <c r="V558">
        <v>0</v>
      </c>
      <c r="W558">
        <v>0</v>
      </c>
      <c r="X558">
        <v>2</v>
      </c>
      <c r="Z558">
        <v>0</v>
      </c>
      <c r="AA558">
        <v>9</v>
      </c>
      <c r="AB558">
        <v>3</v>
      </c>
      <c r="AC558">
        <v>0</v>
      </c>
      <c r="AD558">
        <v>10</v>
      </c>
      <c r="AE558">
        <v>0</v>
      </c>
      <c r="AF558">
        <v>3</v>
      </c>
      <c r="AG558">
        <v>2</v>
      </c>
      <c r="AH558">
        <v>0</v>
      </c>
      <c r="AI558" t="s">
        <v>658</v>
      </c>
      <c r="AJ558">
        <v>45.762155</v>
      </c>
      <c r="AK558" t="s">
        <v>659</v>
      </c>
      <c r="AL558">
        <v>-89.329491000000004</v>
      </c>
      <c r="AM558">
        <v>100</v>
      </c>
      <c r="AN558">
        <v>10900</v>
      </c>
      <c r="AO558" t="s">
        <v>118</v>
      </c>
      <c r="AP558">
        <v>121</v>
      </c>
      <c r="AQ558">
        <v>107</v>
      </c>
      <c r="AR558">
        <v>2048</v>
      </c>
      <c r="AZ558">
        <v>1200</v>
      </c>
      <c r="BA558">
        <v>1</v>
      </c>
      <c r="BB558" t="str">
        <f t="shared" si="30"/>
        <v xml:space="preserve">N690LS  </v>
      </c>
      <c r="BC558">
        <v>1</v>
      </c>
      <c r="BE558">
        <v>0</v>
      </c>
      <c r="BF558">
        <v>0</v>
      </c>
      <c r="BG558">
        <v>0</v>
      </c>
      <c r="BH558">
        <v>11225</v>
      </c>
      <c r="BI558">
        <v>1</v>
      </c>
      <c r="BJ558">
        <v>1</v>
      </c>
      <c r="BK558">
        <v>1</v>
      </c>
      <c r="BL558">
        <v>0</v>
      </c>
      <c r="BO558">
        <v>0</v>
      </c>
      <c r="BP558">
        <v>0</v>
      </c>
      <c r="BW558" t="str">
        <f>"13:55:07.685"</f>
        <v>13:55:07.685</v>
      </c>
      <c r="CJ558">
        <v>0</v>
      </c>
      <c r="CK558">
        <v>2</v>
      </c>
      <c r="CL558">
        <v>0</v>
      </c>
      <c r="CM558">
        <v>2</v>
      </c>
      <c r="CN558">
        <v>0</v>
      </c>
      <c r="CO558">
        <v>7</v>
      </c>
      <c r="CP558" t="s">
        <v>119</v>
      </c>
      <c r="CQ558">
        <v>197</v>
      </c>
      <c r="CR558">
        <v>2</v>
      </c>
      <c r="CW558">
        <v>2337687</v>
      </c>
      <c r="CY558">
        <v>1</v>
      </c>
      <c r="CZ558">
        <v>0</v>
      </c>
      <c r="DA558">
        <v>1</v>
      </c>
      <c r="DB558">
        <v>0</v>
      </c>
      <c r="DC558">
        <v>0</v>
      </c>
      <c r="DD558">
        <v>1</v>
      </c>
      <c r="DE558">
        <v>0</v>
      </c>
      <c r="DF558">
        <v>0</v>
      </c>
      <c r="DG558">
        <v>0</v>
      </c>
      <c r="DH558">
        <v>0</v>
      </c>
      <c r="DI558">
        <v>0</v>
      </c>
    </row>
    <row r="559" spans="1:113" x14ac:dyDescent="0.3">
      <c r="A559" t="str">
        <f>"09/28/2021 13:55:08.871"</f>
        <v>09/28/2021 13:55:08.871</v>
      </c>
      <c r="C559" t="str">
        <f t="shared" si="29"/>
        <v>FFDFD3C0</v>
      </c>
      <c r="D559" t="s">
        <v>113</v>
      </c>
      <c r="E559">
        <v>7</v>
      </c>
      <c r="H559">
        <v>170</v>
      </c>
      <c r="I559" t="s">
        <v>114</v>
      </c>
      <c r="J559" t="s">
        <v>115</v>
      </c>
      <c r="K559">
        <v>0</v>
      </c>
      <c r="L559">
        <v>3</v>
      </c>
      <c r="M559">
        <v>0</v>
      </c>
      <c r="N559">
        <v>2</v>
      </c>
      <c r="O559">
        <v>1</v>
      </c>
      <c r="P559">
        <v>0</v>
      </c>
      <c r="Q559">
        <v>0</v>
      </c>
      <c r="S559" t="str">
        <f>"13:55:08.656"</f>
        <v>13:55:08.656</v>
      </c>
      <c r="T559" t="str">
        <f>"13:55:08.156"</f>
        <v>13:55:08.156</v>
      </c>
      <c r="U559" t="str">
        <f t="shared" si="28"/>
        <v>A92BC1</v>
      </c>
      <c r="V559">
        <v>0</v>
      </c>
      <c r="W559">
        <v>0</v>
      </c>
      <c r="X559">
        <v>2</v>
      </c>
      <c r="Z559">
        <v>0</v>
      </c>
      <c r="AA559">
        <v>9</v>
      </c>
      <c r="AB559">
        <v>3</v>
      </c>
      <c r="AC559">
        <v>0</v>
      </c>
      <c r="AD559">
        <v>10</v>
      </c>
      <c r="AE559">
        <v>0</v>
      </c>
      <c r="AF559">
        <v>3</v>
      </c>
      <c r="AG559">
        <v>2</v>
      </c>
      <c r="AH559">
        <v>0</v>
      </c>
      <c r="AI559" t="s">
        <v>660</v>
      </c>
      <c r="AJ559">
        <v>45.762627000000002</v>
      </c>
      <c r="AK559" t="s">
        <v>661</v>
      </c>
      <c r="AL559">
        <v>-89.328675000000004</v>
      </c>
      <c r="AM559">
        <v>100</v>
      </c>
      <c r="AN559">
        <v>10900</v>
      </c>
      <c r="AO559" t="s">
        <v>118</v>
      </c>
      <c r="AP559">
        <v>121</v>
      </c>
      <c r="AQ559">
        <v>106</v>
      </c>
      <c r="AR559">
        <v>2048</v>
      </c>
      <c r="AZ559">
        <v>1200</v>
      </c>
      <c r="BA559">
        <v>1</v>
      </c>
      <c r="BB559" t="str">
        <f t="shared" si="30"/>
        <v xml:space="preserve">N690LS  </v>
      </c>
      <c r="BC559">
        <v>1</v>
      </c>
      <c r="BE559">
        <v>0</v>
      </c>
      <c r="BF559">
        <v>0</v>
      </c>
      <c r="BG559">
        <v>0</v>
      </c>
      <c r="BH559">
        <v>11250</v>
      </c>
      <c r="BI559">
        <v>1</v>
      </c>
      <c r="BJ559">
        <v>1</v>
      </c>
      <c r="BK559">
        <v>1</v>
      </c>
      <c r="BL559">
        <v>0</v>
      </c>
      <c r="BO559">
        <v>0</v>
      </c>
      <c r="BP559">
        <v>0</v>
      </c>
      <c r="BW559" t="str">
        <f>"13:55:08.662"</f>
        <v>13:55:08.662</v>
      </c>
      <c r="CJ559">
        <v>0</v>
      </c>
      <c r="CK559">
        <v>2</v>
      </c>
      <c r="CL559">
        <v>0</v>
      </c>
      <c r="CM559">
        <v>2</v>
      </c>
      <c r="CN559">
        <v>0</v>
      </c>
      <c r="CO559">
        <v>7</v>
      </c>
      <c r="CP559" t="s">
        <v>119</v>
      </c>
      <c r="CQ559">
        <v>197</v>
      </c>
      <c r="CR559">
        <v>2</v>
      </c>
      <c r="CW559">
        <v>2338562</v>
      </c>
      <c r="CY559">
        <v>1</v>
      </c>
      <c r="CZ559">
        <v>0</v>
      </c>
      <c r="DA559">
        <v>0</v>
      </c>
      <c r="DB559">
        <v>0</v>
      </c>
      <c r="DC559">
        <v>0</v>
      </c>
      <c r="DD559">
        <v>1</v>
      </c>
      <c r="DE559">
        <v>0</v>
      </c>
      <c r="DF559">
        <v>0</v>
      </c>
      <c r="DG559">
        <v>0</v>
      </c>
      <c r="DH559">
        <v>0</v>
      </c>
      <c r="DI559">
        <v>0</v>
      </c>
    </row>
    <row r="560" spans="1:113" x14ac:dyDescent="0.3">
      <c r="A560" t="str">
        <f>"09/28/2021 13:55:08.902"</f>
        <v>09/28/2021 13:55:08.902</v>
      </c>
      <c r="C560" t="str">
        <f t="shared" si="29"/>
        <v>FFDFD3C0</v>
      </c>
      <c r="D560" t="s">
        <v>120</v>
      </c>
      <c r="E560">
        <v>12</v>
      </c>
      <c r="F560">
        <v>1012</v>
      </c>
      <c r="G560" t="s">
        <v>114</v>
      </c>
      <c r="J560" t="s">
        <v>121</v>
      </c>
      <c r="K560">
        <v>0</v>
      </c>
      <c r="L560">
        <v>3</v>
      </c>
      <c r="M560">
        <v>0</v>
      </c>
      <c r="N560">
        <v>2</v>
      </c>
      <c r="O560">
        <v>1</v>
      </c>
      <c r="P560">
        <v>0</v>
      </c>
      <c r="Q560">
        <v>0</v>
      </c>
      <c r="S560" t="str">
        <f>"13:55:08.656"</f>
        <v>13:55:08.656</v>
      </c>
      <c r="T560" t="str">
        <f>"13:55:08.156"</f>
        <v>13:55:08.156</v>
      </c>
      <c r="U560" t="str">
        <f t="shared" si="28"/>
        <v>A92BC1</v>
      </c>
      <c r="V560">
        <v>0</v>
      </c>
      <c r="W560">
        <v>0</v>
      </c>
      <c r="X560">
        <v>2</v>
      </c>
      <c r="Z560">
        <v>0</v>
      </c>
      <c r="AA560">
        <v>9</v>
      </c>
      <c r="AB560">
        <v>3</v>
      </c>
      <c r="AC560">
        <v>0</v>
      </c>
      <c r="AD560">
        <v>10</v>
      </c>
      <c r="AE560">
        <v>0</v>
      </c>
      <c r="AF560">
        <v>3</v>
      </c>
      <c r="AG560">
        <v>2</v>
      </c>
      <c r="AH560">
        <v>0</v>
      </c>
      <c r="AI560" t="s">
        <v>660</v>
      </c>
      <c r="AJ560">
        <v>45.762627000000002</v>
      </c>
      <c r="AK560" t="s">
        <v>661</v>
      </c>
      <c r="AL560">
        <v>-89.328675000000004</v>
      </c>
      <c r="AM560">
        <v>100</v>
      </c>
      <c r="AN560">
        <v>10900</v>
      </c>
      <c r="AO560" t="s">
        <v>118</v>
      </c>
      <c r="AP560">
        <v>121</v>
      </c>
      <c r="AQ560">
        <v>106</v>
      </c>
      <c r="AR560">
        <v>2048</v>
      </c>
      <c r="AZ560">
        <v>1200</v>
      </c>
      <c r="BA560">
        <v>1</v>
      </c>
      <c r="BB560" t="str">
        <f t="shared" si="30"/>
        <v xml:space="preserve">N690LS  </v>
      </c>
      <c r="BC560">
        <v>1</v>
      </c>
      <c r="BE560">
        <v>0</v>
      </c>
      <c r="BF560">
        <v>0</v>
      </c>
      <c r="BG560">
        <v>0</v>
      </c>
      <c r="BH560">
        <v>11250</v>
      </c>
      <c r="BI560">
        <v>1</v>
      </c>
      <c r="BJ560">
        <v>1</v>
      </c>
      <c r="BK560">
        <v>1</v>
      </c>
      <c r="BL560">
        <v>0</v>
      </c>
      <c r="BO560">
        <v>0</v>
      </c>
      <c r="BP560">
        <v>0</v>
      </c>
      <c r="BW560" t="str">
        <f>"13:55:08.662"</f>
        <v>13:55:08.662</v>
      </c>
      <c r="CJ560">
        <v>0</v>
      </c>
      <c r="CK560">
        <v>2</v>
      </c>
      <c r="CL560">
        <v>0</v>
      </c>
      <c r="CM560">
        <v>2</v>
      </c>
      <c r="CN560">
        <v>0</v>
      </c>
      <c r="CO560">
        <v>7</v>
      </c>
      <c r="CP560" t="s">
        <v>119</v>
      </c>
      <c r="CQ560">
        <v>197</v>
      </c>
      <c r="CR560">
        <v>2</v>
      </c>
      <c r="CW560">
        <v>2338562</v>
      </c>
      <c r="CY560">
        <v>1</v>
      </c>
      <c r="CZ560">
        <v>0</v>
      </c>
      <c r="DA560">
        <v>1</v>
      </c>
      <c r="DB560">
        <v>0</v>
      </c>
      <c r="DC560">
        <v>0</v>
      </c>
      <c r="DD560">
        <v>1</v>
      </c>
      <c r="DE560">
        <v>0</v>
      </c>
      <c r="DF560">
        <v>0</v>
      </c>
      <c r="DG560">
        <v>0</v>
      </c>
      <c r="DH560">
        <v>0</v>
      </c>
      <c r="DI560">
        <v>0</v>
      </c>
    </row>
    <row r="561" spans="1:113" x14ac:dyDescent="0.3">
      <c r="A561" t="str">
        <f>"09/28/2021 13:55:09.933"</f>
        <v>09/28/2021 13:55:09.933</v>
      </c>
      <c r="C561" t="str">
        <f t="shared" si="29"/>
        <v>FFDFD3C0</v>
      </c>
      <c r="D561" t="s">
        <v>113</v>
      </c>
      <c r="E561">
        <v>7</v>
      </c>
      <c r="H561">
        <v>170</v>
      </c>
      <c r="I561" t="s">
        <v>114</v>
      </c>
      <c r="J561" t="s">
        <v>115</v>
      </c>
      <c r="K561">
        <v>0</v>
      </c>
      <c r="L561">
        <v>3</v>
      </c>
      <c r="M561">
        <v>0</v>
      </c>
      <c r="N561">
        <v>2</v>
      </c>
      <c r="O561">
        <v>1</v>
      </c>
      <c r="P561">
        <v>0</v>
      </c>
      <c r="Q561">
        <v>0</v>
      </c>
      <c r="S561" t="str">
        <f>"13:55:09.719"</f>
        <v>13:55:09.719</v>
      </c>
      <c r="T561" t="str">
        <f>"13:55:09.219"</f>
        <v>13:55:09.219</v>
      </c>
      <c r="U561" t="str">
        <f t="shared" si="28"/>
        <v>A92BC1</v>
      </c>
      <c r="V561">
        <v>0</v>
      </c>
      <c r="W561">
        <v>0</v>
      </c>
      <c r="X561">
        <v>2</v>
      </c>
      <c r="Z561">
        <v>0</v>
      </c>
      <c r="AA561">
        <v>9</v>
      </c>
      <c r="AB561">
        <v>3</v>
      </c>
      <c r="AC561">
        <v>0</v>
      </c>
      <c r="AD561">
        <v>10</v>
      </c>
      <c r="AE561">
        <v>0</v>
      </c>
      <c r="AF561">
        <v>3</v>
      </c>
      <c r="AG561">
        <v>2</v>
      </c>
      <c r="AH561">
        <v>0</v>
      </c>
      <c r="AI561" t="s">
        <v>662</v>
      </c>
      <c r="AJ561">
        <v>45.763185</v>
      </c>
      <c r="AK561" t="s">
        <v>663</v>
      </c>
      <c r="AL561">
        <v>-89.327753000000001</v>
      </c>
      <c r="AM561">
        <v>100</v>
      </c>
      <c r="AN561">
        <v>10900</v>
      </c>
      <c r="AO561" t="s">
        <v>118</v>
      </c>
      <c r="AP561">
        <v>121</v>
      </c>
      <c r="AQ561">
        <v>106</v>
      </c>
      <c r="AR561">
        <v>2048</v>
      </c>
      <c r="AZ561">
        <v>1200</v>
      </c>
      <c r="BA561">
        <v>1</v>
      </c>
      <c r="BB561" t="str">
        <f t="shared" si="30"/>
        <v xml:space="preserve">N690LS  </v>
      </c>
      <c r="BC561">
        <v>1</v>
      </c>
      <c r="BE561">
        <v>0</v>
      </c>
      <c r="BF561">
        <v>0</v>
      </c>
      <c r="BG561">
        <v>0</v>
      </c>
      <c r="BH561">
        <v>11275</v>
      </c>
      <c r="BI561">
        <v>1</v>
      </c>
      <c r="BJ561">
        <v>1</v>
      </c>
      <c r="BK561">
        <v>1</v>
      </c>
      <c r="BL561">
        <v>0</v>
      </c>
      <c r="BO561">
        <v>0</v>
      </c>
      <c r="BP561">
        <v>0</v>
      </c>
      <c r="BW561" t="str">
        <f>"13:55:09.723"</f>
        <v>13:55:09.723</v>
      </c>
      <c r="CJ561">
        <v>0</v>
      </c>
      <c r="CK561">
        <v>2</v>
      </c>
      <c r="CL561">
        <v>0</v>
      </c>
      <c r="CM561">
        <v>2</v>
      </c>
      <c r="CN561">
        <v>0</v>
      </c>
      <c r="CO561">
        <v>7</v>
      </c>
      <c r="CP561" t="s">
        <v>119</v>
      </c>
      <c r="CQ561">
        <v>197</v>
      </c>
      <c r="CR561">
        <v>1</v>
      </c>
      <c r="CW561">
        <v>7267989</v>
      </c>
      <c r="CY561">
        <v>1</v>
      </c>
      <c r="CZ561">
        <v>0</v>
      </c>
      <c r="DA561">
        <v>0</v>
      </c>
      <c r="DB561">
        <v>0</v>
      </c>
      <c r="DC561">
        <v>0</v>
      </c>
      <c r="DD561">
        <v>1</v>
      </c>
      <c r="DE561">
        <v>0</v>
      </c>
      <c r="DF561">
        <v>0</v>
      </c>
      <c r="DG561">
        <v>0</v>
      </c>
      <c r="DH561">
        <v>0</v>
      </c>
      <c r="DI561">
        <v>0</v>
      </c>
    </row>
    <row r="562" spans="1:113" x14ac:dyDescent="0.3">
      <c r="A562" t="str">
        <f>"09/28/2021 13:55:09.964"</f>
        <v>09/28/2021 13:55:09.964</v>
      </c>
      <c r="C562" t="str">
        <f t="shared" si="29"/>
        <v>FFDFD3C0</v>
      </c>
      <c r="D562" t="s">
        <v>120</v>
      </c>
      <c r="E562">
        <v>12</v>
      </c>
      <c r="F562">
        <v>1012</v>
      </c>
      <c r="G562" t="s">
        <v>114</v>
      </c>
      <c r="J562" t="s">
        <v>121</v>
      </c>
      <c r="K562">
        <v>0</v>
      </c>
      <c r="L562">
        <v>3</v>
      </c>
      <c r="M562">
        <v>0</v>
      </c>
      <c r="N562">
        <v>2</v>
      </c>
      <c r="O562">
        <v>1</v>
      </c>
      <c r="P562">
        <v>0</v>
      </c>
      <c r="Q562">
        <v>0</v>
      </c>
      <c r="S562" t="str">
        <f>"13:55:09.719"</f>
        <v>13:55:09.719</v>
      </c>
      <c r="T562" t="str">
        <f>"13:55:09.219"</f>
        <v>13:55:09.219</v>
      </c>
      <c r="U562" t="str">
        <f t="shared" si="28"/>
        <v>A92BC1</v>
      </c>
      <c r="V562">
        <v>0</v>
      </c>
      <c r="W562">
        <v>0</v>
      </c>
      <c r="X562">
        <v>2</v>
      </c>
      <c r="Z562">
        <v>0</v>
      </c>
      <c r="AA562">
        <v>9</v>
      </c>
      <c r="AB562">
        <v>3</v>
      </c>
      <c r="AC562">
        <v>0</v>
      </c>
      <c r="AD562">
        <v>10</v>
      </c>
      <c r="AE562">
        <v>0</v>
      </c>
      <c r="AF562">
        <v>3</v>
      </c>
      <c r="AG562">
        <v>2</v>
      </c>
      <c r="AH562">
        <v>0</v>
      </c>
      <c r="AI562" t="s">
        <v>662</v>
      </c>
      <c r="AJ562">
        <v>45.763185</v>
      </c>
      <c r="AK562" t="s">
        <v>663</v>
      </c>
      <c r="AL562">
        <v>-89.327753000000001</v>
      </c>
      <c r="AM562">
        <v>100</v>
      </c>
      <c r="AN562">
        <v>10900</v>
      </c>
      <c r="AO562" t="s">
        <v>118</v>
      </c>
      <c r="AP562">
        <v>121</v>
      </c>
      <c r="AQ562">
        <v>106</v>
      </c>
      <c r="AR562">
        <v>2048</v>
      </c>
      <c r="AZ562">
        <v>1200</v>
      </c>
      <c r="BA562">
        <v>1</v>
      </c>
      <c r="BB562" t="str">
        <f t="shared" si="30"/>
        <v xml:space="preserve">N690LS  </v>
      </c>
      <c r="BC562">
        <v>1</v>
      </c>
      <c r="BE562">
        <v>0</v>
      </c>
      <c r="BF562">
        <v>0</v>
      </c>
      <c r="BG562">
        <v>0</v>
      </c>
      <c r="BH562">
        <v>11275</v>
      </c>
      <c r="BI562">
        <v>1</v>
      </c>
      <c r="BJ562">
        <v>1</v>
      </c>
      <c r="BK562">
        <v>1</v>
      </c>
      <c r="BL562">
        <v>0</v>
      </c>
      <c r="BO562">
        <v>0</v>
      </c>
      <c r="BP562">
        <v>0</v>
      </c>
      <c r="BW562" t="str">
        <f>"13:55:09.723"</f>
        <v>13:55:09.723</v>
      </c>
      <c r="CJ562">
        <v>0</v>
      </c>
      <c r="CK562">
        <v>2</v>
      </c>
      <c r="CL562">
        <v>0</v>
      </c>
      <c r="CM562">
        <v>2</v>
      </c>
      <c r="CN562">
        <v>0</v>
      </c>
      <c r="CO562">
        <v>7</v>
      </c>
      <c r="CP562" t="s">
        <v>119</v>
      </c>
      <c r="CQ562">
        <v>197</v>
      </c>
      <c r="CR562">
        <v>1</v>
      </c>
      <c r="CW562">
        <v>7267989</v>
      </c>
      <c r="CY562">
        <v>1</v>
      </c>
      <c r="CZ562">
        <v>0</v>
      </c>
      <c r="DA562">
        <v>1</v>
      </c>
      <c r="DB562">
        <v>0</v>
      </c>
      <c r="DC562">
        <v>0</v>
      </c>
      <c r="DD562">
        <v>1</v>
      </c>
      <c r="DE562">
        <v>0</v>
      </c>
      <c r="DF562">
        <v>0</v>
      </c>
      <c r="DG562">
        <v>0</v>
      </c>
      <c r="DH562">
        <v>0</v>
      </c>
      <c r="DI562">
        <v>0</v>
      </c>
    </row>
    <row r="563" spans="1:113" x14ac:dyDescent="0.3">
      <c r="A563" t="str">
        <f>"09/28/2021 13:55:10.824"</f>
        <v>09/28/2021 13:55:10.824</v>
      </c>
      <c r="C563" t="str">
        <f t="shared" si="29"/>
        <v>FFDFD3C0</v>
      </c>
      <c r="D563" t="s">
        <v>113</v>
      </c>
      <c r="E563">
        <v>7</v>
      </c>
      <c r="H563">
        <v>170</v>
      </c>
      <c r="I563" t="s">
        <v>114</v>
      </c>
      <c r="J563" t="s">
        <v>115</v>
      </c>
      <c r="K563">
        <v>0</v>
      </c>
      <c r="L563">
        <v>3</v>
      </c>
      <c r="M563">
        <v>0</v>
      </c>
      <c r="N563">
        <v>2</v>
      </c>
      <c r="O563">
        <v>1</v>
      </c>
      <c r="P563">
        <v>0</v>
      </c>
      <c r="Q563">
        <v>0</v>
      </c>
      <c r="S563" t="str">
        <f>"13:55:10.586"</f>
        <v>13:55:10.586</v>
      </c>
      <c r="T563" t="str">
        <f>"13:55:10.186"</f>
        <v>13:55:10.186</v>
      </c>
      <c r="U563" t="str">
        <f t="shared" si="28"/>
        <v>A92BC1</v>
      </c>
      <c r="V563">
        <v>0</v>
      </c>
      <c r="W563">
        <v>0</v>
      </c>
      <c r="X563">
        <v>2</v>
      </c>
      <c r="Z563">
        <v>0</v>
      </c>
      <c r="AA563">
        <v>9</v>
      </c>
      <c r="AB563">
        <v>3</v>
      </c>
      <c r="AC563">
        <v>0</v>
      </c>
      <c r="AD563">
        <v>10</v>
      </c>
      <c r="AE563">
        <v>0</v>
      </c>
      <c r="AF563">
        <v>3</v>
      </c>
      <c r="AG563">
        <v>2</v>
      </c>
      <c r="AH563">
        <v>0</v>
      </c>
      <c r="AI563" t="s">
        <v>664</v>
      </c>
      <c r="AJ563">
        <v>45.763550000000002</v>
      </c>
      <c r="AK563" t="s">
        <v>665</v>
      </c>
      <c r="AL563">
        <v>-89.327151999999998</v>
      </c>
      <c r="AM563">
        <v>100</v>
      </c>
      <c r="AN563">
        <v>11000</v>
      </c>
      <c r="AO563" t="s">
        <v>118</v>
      </c>
      <c r="AP563">
        <v>122</v>
      </c>
      <c r="AQ563">
        <v>106</v>
      </c>
      <c r="AR563">
        <v>1984</v>
      </c>
      <c r="AZ563">
        <v>1200</v>
      </c>
      <c r="BA563">
        <v>1</v>
      </c>
      <c r="BB563" t="str">
        <f t="shared" si="30"/>
        <v xml:space="preserve">N690LS  </v>
      </c>
      <c r="BC563">
        <v>1</v>
      </c>
      <c r="BE563">
        <v>0</v>
      </c>
      <c r="BF563">
        <v>0</v>
      </c>
      <c r="BG563">
        <v>0</v>
      </c>
      <c r="BH563">
        <v>11325</v>
      </c>
      <c r="BI563">
        <v>1</v>
      </c>
      <c r="BJ563">
        <v>1</v>
      </c>
      <c r="BK563">
        <v>1</v>
      </c>
      <c r="BL563">
        <v>0</v>
      </c>
      <c r="BO563">
        <v>0</v>
      </c>
      <c r="BP563">
        <v>0</v>
      </c>
      <c r="BW563" t="str">
        <f>"13:55:10.587"</f>
        <v>13:55:10.587</v>
      </c>
      <c r="CJ563">
        <v>0</v>
      </c>
      <c r="CK563">
        <v>2</v>
      </c>
      <c r="CL563">
        <v>0</v>
      </c>
      <c r="CM563">
        <v>2</v>
      </c>
      <c r="CN563">
        <v>0</v>
      </c>
      <c r="CO563">
        <v>7</v>
      </c>
      <c r="CP563" t="s">
        <v>119</v>
      </c>
      <c r="CQ563">
        <v>197</v>
      </c>
      <c r="CR563">
        <v>1</v>
      </c>
      <c r="CW563">
        <v>7268974</v>
      </c>
      <c r="CY563">
        <v>1</v>
      </c>
      <c r="CZ563">
        <v>0</v>
      </c>
      <c r="DA563">
        <v>0</v>
      </c>
      <c r="DB563">
        <v>0</v>
      </c>
      <c r="DC563">
        <v>0</v>
      </c>
      <c r="DD563">
        <v>1</v>
      </c>
      <c r="DE563">
        <v>0</v>
      </c>
      <c r="DF563">
        <v>0</v>
      </c>
      <c r="DG563">
        <v>0</v>
      </c>
      <c r="DH563">
        <v>0</v>
      </c>
      <c r="DI563">
        <v>0</v>
      </c>
    </row>
    <row r="564" spans="1:113" x14ac:dyDescent="0.3">
      <c r="A564" t="str">
        <f>"09/28/2021 13:55:10.839"</f>
        <v>09/28/2021 13:55:10.839</v>
      </c>
      <c r="C564" t="str">
        <f t="shared" si="29"/>
        <v>FFDFD3C0</v>
      </c>
      <c r="D564" t="s">
        <v>120</v>
      </c>
      <c r="E564">
        <v>12</v>
      </c>
      <c r="F564">
        <v>1012</v>
      </c>
      <c r="G564" t="s">
        <v>114</v>
      </c>
      <c r="J564" t="s">
        <v>121</v>
      </c>
      <c r="K564">
        <v>0</v>
      </c>
      <c r="L564">
        <v>3</v>
      </c>
      <c r="M564">
        <v>0</v>
      </c>
      <c r="N564">
        <v>2</v>
      </c>
      <c r="O564">
        <v>1</v>
      </c>
      <c r="P564">
        <v>0</v>
      </c>
      <c r="Q564">
        <v>0</v>
      </c>
      <c r="S564" t="str">
        <f>"13:55:10.586"</f>
        <v>13:55:10.586</v>
      </c>
      <c r="T564" t="str">
        <f>"13:55:10.186"</f>
        <v>13:55:10.186</v>
      </c>
      <c r="U564" t="str">
        <f t="shared" si="28"/>
        <v>A92BC1</v>
      </c>
      <c r="V564">
        <v>0</v>
      </c>
      <c r="W564">
        <v>0</v>
      </c>
      <c r="X564">
        <v>2</v>
      </c>
      <c r="Z564">
        <v>0</v>
      </c>
      <c r="AA564">
        <v>9</v>
      </c>
      <c r="AB564">
        <v>3</v>
      </c>
      <c r="AC564">
        <v>0</v>
      </c>
      <c r="AD564">
        <v>10</v>
      </c>
      <c r="AE564">
        <v>0</v>
      </c>
      <c r="AF564">
        <v>3</v>
      </c>
      <c r="AG564">
        <v>2</v>
      </c>
      <c r="AH564">
        <v>0</v>
      </c>
      <c r="AI564" t="s">
        <v>664</v>
      </c>
      <c r="AJ564">
        <v>45.763550000000002</v>
      </c>
      <c r="AK564" t="s">
        <v>665</v>
      </c>
      <c r="AL564">
        <v>-89.327151999999998</v>
      </c>
      <c r="AM564">
        <v>100</v>
      </c>
      <c r="AN564">
        <v>11000</v>
      </c>
      <c r="AO564" t="s">
        <v>118</v>
      </c>
      <c r="AP564">
        <v>122</v>
      </c>
      <c r="AQ564">
        <v>106</v>
      </c>
      <c r="AR564">
        <v>1984</v>
      </c>
      <c r="AZ564">
        <v>1200</v>
      </c>
      <c r="BA564">
        <v>1</v>
      </c>
      <c r="BB564" t="str">
        <f t="shared" si="30"/>
        <v xml:space="preserve">N690LS  </v>
      </c>
      <c r="BC564">
        <v>1</v>
      </c>
      <c r="BE564">
        <v>0</v>
      </c>
      <c r="BF564">
        <v>0</v>
      </c>
      <c r="BG564">
        <v>0</v>
      </c>
      <c r="BH564">
        <v>11325</v>
      </c>
      <c r="BI564">
        <v>1</v>
      </c>
      <c r="BJ564">
        <v>1</v>
      </c>
      <c r="BK564">
        <v>1</v>
      </c>
      <c r="BL564">
        <v>0</v>
      </c>
      <c r="BO564">
        <v>0</v>
      </c>
      <c r="BP564">
        <v>0</v>
      </c>
      <c r="BW564" t="str">
        <f>"13:55:10.587"</f>
        <v>13:55:10.587</v>
      </c>
      <c r="CJ564">
        <v>0</v>
      </c>
      <c r="CK564">
        <v>2</v>
      </c>
      <c r="CL564">
        <v>0</v>
      </c>
      <c r="CM564">
        <v>2</v>
      </c>
      <c r="CN564">
        <v>0</v>
      </c>
      <c r="CO564">
        <v>7</v>
      </c>
      <c r="CP564" t="s">
        <v>119</v>
      </c>
      <c r="CQ564">
        <v>197</v>
      </c>
      <c r="CR564">
        <v>1</v>
      </c>
      <c r="CW564">
        <v>7268974</v>
      </c>
      <c r="CY564">
        <v>1</v>
      </c>
      <c r="CZ564">
        <v>0</v>
      </c>
      <c r="DA564">
        <v>1</v>
      </c>
      <c r="DB564">
        <v>0</v>
      </c>
      <c r="DC564">
        <v>0</v>
      </c>
      <c r="DD564">
        <v>1</v>
      </c>
      <c r="DE564">
        <v>0</v>
      </c>
      <c r="DF564">
        <v>0</v>
      </c>
      <c r="DG564">
        <v>0</v>
      </c>
      <c r="DH564">
        <v>0</v>
      </c>
      <c r="DI564">
        <v>0</v>
      </c>
    </row>
    <row r="565" spans="1:113" x14ac:dyDescent="0.3">
      <c r="A565" t="str">
        <f>"09/28/2021 13:55:11.838"</f>
        <v>09/28/2021 13:55:11.838</v>
      </c>
      <c r="C565" t="str">
        <f t="shared" si="29"/>
        <v>FFDFD3C0</v>
      </c>
      <c r="D565" t="s">
        <v>113</v>
      </c>
      <c r="E565">
        <v>7</v>
      </c>
      <c r="H565">
        <v>170</v>
      </c>
      <c r="I565" t="s">
        <v>114</v>
      </c>
      <c r="J565" t="s">
        <v>115</v>
      </c>
      <c r="K565">
        <v>0</v>
      </c>
      <c r="L565">
        <v>3</v>
      </c>
      <c r="M565">
        <v>0</v>
      </c>
      <c r="N565">
        <v>2</v>
      </c>
      <c r="O565">
        <v>1</v>
      </c>
      <c r="P565">
        <v>0</v>
      </c>
      <c r="Q565">
        <v>0</v>
      </c>
      <c r="S565" t="str">
        <f>"13:55:11.617"</f>
        <v>13:55:11.617</v>
      </c>
      <c r="T565" t="str">
        <f>"13:55:11.217"</f>
        <v>13:55:11.217</v>
      </c>
      <c r="U565" t="str">
        <f t="shared" si="28"/>
        <v>A92BC1</v>
      </c>
      <c r="V565">
        <v>0</v>
      </c>
      <c r="W565">
        <v>0</v>
      </c>
      <c r="X565">
        <v>2</v>
      </c>
      <c r="Z565">
        <v>0</v>
      </c>
      <c r="AA565">
        <v>9</v>
      </c>
      <c r="AB565">
        <v>3</v>
      </c>
      <c r="AC565">
        <v>0</v>
      </c>
      <c r="AD565">
        <v>10</v>
      </c>
      <c r="AE565">
        <v>0</v>
      </c>
      <c r="AF565">
        <v>3</v>
      </c>
      <c r="AG565">
        <v>2</v>
      </c>
      <c r="AH565">
        <v>0</v>
      </c>
      <c r="AI565" t="s">
        <v>666</v>
      </c>
      <c r="AJ565">
        <v>45.764043000000001</v>
      </c>
      <c r="AK565" t="s">
        <v>667</v>
      </c>
      <c r="AL565">
        <v>-89.326357999999999</v>
      </c>
      <c r="AM565">
        <v>100</v>
      </c>
      <c r="AN565">
        <v>11000</v>
      </c>
      <c r="AO565" t="s">
        <v>118</v>
      </c>
      <c r="AP565">
        <v>122</v>
      </c>
      <c r="AQ565">
        <v>105</v>
      </c>
      <c r="AR565">
        <v>1984</v>
      </c>
      <c r="AZ565">
        <v>1200</v>
      </c>
      <c r="BA565">
        <v>1</v>
      </c>
      <c r="BB565" t="str">
        <f t="shared" si="30"/>
        <v xml:space="preserve">N690LS  </v>
      </c>
      <c r="BC565">
        <v>1</v>
      </c>
      <c r="BE565">
        <v>0</v>
      </c>
      <c r="BF565">
        <v>0</v>
      </c>
      <c r="BG565">
        <v>0</v>
      </c>
      <c r="BH565">
        <v>11350</v>
      </c>
      <c r="BI565">
        <v>1</v>
      </c>
      <c r="BJ565">
        <v>1</v>
      </c>
      <c r="BK565">
        <v>1</v>
      </c>
      <c r="BL565">
        <v>0</v>
      </c>
      <c r="BO565">
        <v>0</v>
      </c>
      <c r="BP565">
        <v>0</v>
      </c>
      <c r="BW565" t="str">
        <f>"13:55:11.619"</f>
        <v>13:55:11.619</v>
      </c>
      <c r="CJ565">
        <v>0</v>
      </c>
      <c r="CK565">
        <v>2</v>
      </c>
      <c r="CL565">
        <v>0</v>
      </c>
      <c r="CM565">
        <v>2</v>
      </c>
      <c r="CN565">
        <v>0</v>
      </c>
      <c r="CO565">
        <v>7</v>
      </c>
      <c r="CP565" t="s">
        <v>119</v>
      </c>
      <c r="CQ565">
        <v>197</v>
      </c>
      <c r="CR565">
        <v>1</v>
      </c>
      <c r="CW565">
        <v>7270127</v>
      </c>
      <c r="CY565">
        <v>1</v>
      </c>
      <c r="CZ565">
        <v>0</v>
      </c>
      <c r="DA565">
        <v>0</v>
      </c>
      <c r="DB565">
        <v>0</v>
      </c>
      <c r="DC565">
        <v>0</v>
      </c>
      <c r="DD565">
        <v>1</v>
      </c>
      <c r="DE565">
        <v>0</v>
      </c>
      <c r="DF565">
        <v>0</v>
      </c>
      <c r="DG565">
        <v>0</v>
      </c>
      <c r="DH565">
        <v>0</v>
      </c>
      <c r="DI565">
        <v>0</v>
      </c>
    </row>
    <row r="566" spans="1:113" x14ac:dyDescent="0.3">
      <c r="A566" t="str">
        <f>"09/28/2021 13:55:11.838"</f>
        <v>09/28/2021 13:55:11.838</v>
      </c>
      <c r="C566" t="str">
        <f t="shared" si="29"/>
        <v>FFDFD3C0</v>
      </c>
      <c r="D566" t="s">
        <v>120</v>
      </c>
      <c r="E566">
        <v>12</v>
      </c>
      <c r="F566">
        <v>1012</v>
      </c>
      <c r="G566" t="s">
        <v>114</v>
      </c>
      <c r="J566" t="s">
        <v>121</v>
      </c>
      <c r="K566">
        <v>0</v>
      </c>
      <c r="L566">
        <v>3</v>
      </c>
      <c r="M566">
        <v>0</v>
      </c>
      <c r="N566">
        <v>2</v>
      </c>
      <c r="O566">
        <v>1</v>
      </c>
      <c r="P566">
        <v>0</v>
      </c>
      <c r="Q566">
        <v>0</v>
      </c>
      <c r="S566" t="str">
        <f>"13:55:11.617"</f>
        <v>13:55:11.617</v>
      </c>
      <c r="T566" t="str">
        <f>"13:55:11.217"</f>
        <v>13:55:11.217</v>
      </c>
      <c r="U566" t="str">
        <f t="shared" si="28"/>
        <v>A92BC1</v>
      </c>
      <c r="V566">
        <v>0</v>
      </c>
      <c r="W566">
        <v>0</v>
      </c>
      <c r="X566">
        <v>2</v>
      </c>
      <c r="Z566">
        <v>0</v>
      </c>
      <c r="AA566">
        <v>9</v>
      </c>
      <c r="AB566">
        <v>3</v>
      </c>
      <c r="AC566">
        <v>0</v>
      </c>
      <c r="AD566">
        <v>10</v>
      </c>
      <c r="AE566">
        <v>0</v>
      </c>
      <c r="AF566">
        <v>3</v>
      </c>
      <c r="AG566">
        <v>2</v>
      </c>
      <c r="AH566">
        <v>0</v>
      </c>
      <c r="AI566" t="s">
        <v>666</v>
      </c>
      <c r="AJ566">
        <v>45.764043000000001</v>
      </c>
      <c r="AK566" t="s">
        <v>667</v>
      </c>
      <c r="AL566">
        <v>-89.326357999999999</v>
      </c>
      <c r="AM566">
        <v>100</v>
      </c>
      <c r="AN566">
        <v>11000</v>
      </c>
      <c r="AO566" t="s">
        <v>118</v>
      </c>
      <c r="AP566">
        <v>122</v>
      </c>
      <c r="AQ566">
        <v>105</v>
      </c>
      <c r="AR566">
        <v>1984</v>
      </c>
      <c r="AZ566">
        <v>1200</v>
      </c>
      <c r="BA566">
        <v>1</v>
      </c>
      <c r="BB566" t="str">
        <f t="shared" si="30"/>
        <v xml:space="preserve">N690LS  </v>
      </c>
      <c r="BC566">
        <v>1</v>
      </c>
      <c r="BE566">
        <v>0</v>
      </c>
      <c r="BF566">
        <v>0</v>
      </c>
      <c r="BG566">
        <v>0</v>
      </c>
      <c r="BH566">
        <v>11350</v>
      </c>
      <c r="BI566">
        <v>1</v>
      </c>
      <c r="BJ566">
        <v>1</v>
      </c>
      <c r="BK566">
        <v>1</v>
      </c>
      <c r="BL566">
        <v>0</v>
      </c>
      <c r="BO566">
        <v>0</v>
      </c>
      <c r="BP566">
        <v>0</v>
      </c>
      <c r="BW566" t="str">
        <f>"13:55:11.619"</f>
        <v>13:55:11.619</v>
      </c>
      <c r="CJ566">
        <v>0</v>
      </c>
      <c r="CK566">
        <v>2</v>
      </c>
      <c r="CL566">
        <v>0</v>
      </c>
      <c r="CM566">
        <v>2</v>
      </c>
      <c r="CN566">
        <v>0</v>
      </c>
      <c r="CO566">
        <v>7</v>
      </c>
      <c r="CP566" t="s">
        <v>119</v>
      </c>
      <c r="CQ566">
        <v>197</v>
      </c>
      <c r="CR566">
        <v>1</v>
      </c>
      <c r="CW566">
        <v>7270127</v>
      </c>
      <c r="CY566">
        <v>1</v>
      </c>
      <c r="CZ566">
        <v>0</v>
      </c>
      <c r="DA566">
        <v>1</v>
      </c>
      <c r="DB566">
        <v>0</v>
      </c>
      <c r="DC566">
        <v>0</v>
      </c>
      <c r="DD566">
        <v>1</v>
      </c>
      <c r="DE566">
        <v>0</v>
      </c>
      <c r="DF566">
        <v>0</v>
      </c>
      <c r="DG566">
        <v>0</v>
      </c>
      <c r="DH566">
        <v>0</v>
      </c>
      <c r="DI566">
        <v>0</v>
      </c>
    </row>
    <row r="567" spans="1:113" x14ac:dyDescent="0.3">
      <c r="A567" t="str">
        <f>"09/28/2021 13:55:12.885"</f>
        <v>09/28/2021 13:55:12.885</v>
      </c>
      <c r="C567" t="str">
        <f t="shared" si="29"/>
        <v>FFDFD3C0</v>
      </c>
      <c r="D567" t="s">
        <v>120</v>
      </c>
      <c r="E567">
        <v>12</v>
      </c>
      <c r="F567">
        <v>1012</v>
      </c>
      <c r="G567" t="s">
        <v>114</v>
      </c>
      <c r="J567" t="s">
        <v>121</v>
      </c>
      <c r="K567">
        <v>0</v>
      </c>
      <c r="L567">
        <v>3</v>
      </c>
      <c r="M567">
        <v>0</v>
      </c>
      <c r="N567">
        <v>2</v>
      </c>
      <c r="O567">
        <v>1</v>
      </c>
      <c r="P567">
        <v>0</v>
      </c>
      <c r="Q567">
        <v>0</v>
      </c>
      <c r="S567" t="str">
        <f>"13:55:12.648"</f>
        <v>13:55:12.648</v>
      </c>
      <c r="T567" t="str">
        <f>"13:55:12.248"</f>
        <v>13:55:12.248</v>
      </c>
      <c r="U567" t="str">
        <f t="shared" si="28"/>
        <v>A92BC1</v>
      </c>
      <c r="V567">
        <v>0</v>
      </c>
      <c r="W567">
        <v>0</v>
      </c>
      <c r="X567">
        <v>2</v>
      </c>
      <c r="Z567">
        <v>0</v>
      </c>
      <c r="AA567">
        <v>9</v>
      </c>
      <c r="AB567">
        <v>3</v>
      </c>
      <c r="AC567">
        <v>0</v>
      </c>
      <c r="AD567">
        <v>10</v>
      </c>
      <c r="AE567">
        <v>0</v>
      </c>
      <c r="AF567">
        <v>3</v>
      </c>
      <c r="AG567">
        <v>2</v>
      </c>
      <c r="AH567">
        <v>0</v>
      </c>
      <c r="AI567" t="s">
        <v>668</v>
      </c>
      <c r="AJ567">
        <v>45.764580000000002</v>
      </c>
      <c r="AK567" t="s">
        <v>669</v>
      </c>
      <c r="AL567">
        <v>-89.325434999999999</v>
      </c>
      <c r="AM567">
        <v>100</v>
      </c>
      <c r="AN567">
        <v>11000</v>
      </c>
      <c r="AO567" t="s">
        <v>118</v>
      </c>
      <c r="AP567">
        <v>122</v>
      </c>
      <c r="AQ567">
        <v>105</v>
      </c>
      <c r="AR567">
        <v>1984</v>
      </c>
      <c r="AZ567">
        <v>1200</v>
      </c>
      <c r="BA567">
        <v>1</v>
      </c>
      <c r="BB567" t="str">
        <f t="shared" si="30"/>
        <v xml:space="preserve">N690LS  </v>
      </c>
      <c r="BC567">
        <v>1</v>
      </c>
      <c r="BE567">
        <v>0</v>
      </c>
      <c r="BF567">
        <v>0</v>
      </c>
      <c r="BG567">
        <v>0</v>
      </c>
      <c r="BH567">
        <v>11375</v>
      </c>
      <c r="BI567">
        <v>1</v>
      </c>
      <c r="BJ567">
        <v>1</v>
      </c>
      <c r="BK567">
        <v>1</v>
      </c>
      <c r="BL567">
        <v>0</v>
      </c>
      <c r="BO567">
        <v>0</v>
      </c>
      <c r="BP567">
        <v>0</v>
      </c>
      <c r="BW567" t="str">
        <f>"13:55:12.655"</f>
        <v>13:55:12.655</v>
      </c>
      <c r="CJ567">
        <v>0</v>
      </c>
      <c r="CK567">
        <v>2</v>
      </c>
      <c r="CL567">
        <v>0</v>
      </c>
      <c r="CM567">
        <v>2</v>
      </c>
      <c r="CN567">
        <v>0</v>
      </c>
      <c r="CO567">
        <v>7</v>
      </c>
      <c r="CP567" t="s">
        <v>119</v>
      </c>
      <c r="CQ567">
        <v>197</v>
      </c>
      <c r="CR567">
        <v>2</v>
      </c>
      <c r="CW567">
        <v>2341998</v>
      </c>
      <c r="CY567">
        <v>1</v>
      </c>
      <c r="CZ567">
        <v>0</v>
      </c>
      <c r="DA567">
        <v>0</v>
      </c>
      <c r="DB567">
        <v>0</v>
      </c>
      <c r="DC567">
        <v>0</v>
      </c>
      <c r="DD567">
        <v>1</v>
      </c>
      <c r="DE567">
        <v>0</v>
      </c>
      <c r="DF567">
        <v>0</v>
      </c>
      <c r="DG567">
        <v>0</v>
      </c>
      <c r="DH567">
        <v>0</v>
      </c>
      <c r="DI567">
        <v>0</v>
      </c>
    </row>
    <row r="568" spans="1:113" x14ac:dyDescent="0.3">
      <c r="A568" t="str">
        <f>"09/28/2021 13:55:12.885"</f>
        <v>09/28/2021 13:55:12.885</v>
      </c>
      <c r="C568" t="str">
        <f t="shared" si="29"/>
        <v>FFDFD3C0</v>
      </c>
      <c r="D568" t="s">
        <v>113</v>
      </c>
      <c r="E568">
        <v>7</v>
      </c>
      <c r="H568">
        <v>170</v>
      </c>
      <c r="I568" t="s">
        <v>114</v>
      </c>
      <c r="J568" t="s">
        <v>115</v>
      </c>
      <c r="K568">
        <v>0</v>
      </c>
      <c r="L568">
        <v>3</v>
      </c>
      <c r="M568">
        <v>0</v>
      </c>
      <c r="N568">
        <v>2</v>
      </c>
      <c r="O568">
        <v>1</v>
      </c>
      <c r="P568">
        <v>0</v>
      </c>
      <c r="Q568">
        <v>0</v>
      </c>
      <c r="S568" t="str">
        <f>"13:55:12.648"</f>
        <v>13:55:12.648</v>
      </c>
      <c r="T568" t="str">
        <f>"13:55:12.248"</f>
        <v>13:55:12.248</v>
      </c>
      <c r="U568" t="str">
        <f t="shared" si="28"/>
        <v>A92BC1</v>
      </c>
      <c r="V568">
        <v>0</v>
      </c>
      <c r="W568">
        <v>0</v>
      </c>
      <c r="X568">
        <v>2</v>
      </c>
      <c r="Z568">
        <v>0</v>
      </c>
      <c r="AA568">
        <v>9</v>
      </c>
      <c r="AB568">
        <v>3</v>
      </c>
      <c r="AC568">
        <v>0</v>
      </c>
      <c r="AD568">
        <v>10</v>
      </c>
      <c r="AE568">
        <v>0</v>
      </c>
      <c r="AF568">
        <v>3</v>
      </c>
      <c r="AG568">
        <v>2</v>
      </c>
      <c r="AH568">
        <v>0</v>
      </c>
      <c r="AI568" t="s">
        <v>668</v>
      </c>
      <c r="AJ568">
        <v>45.764580000000002</v>
      </c>
      <c r="AK568" t="s">
        <v>669</v>
      </c>
      <c r="AL568">
        <v>-89.325434999999999</v>
      </c>
      <c r="AM568">
        <v>100</v>
      </c>
      <c r="AN568">
        <v>11000</v>
      </c>
      <c r="AO568" t="s">
        <v>118</v>
      </c>
      <c r="AP568">
        <v>122</v>
      </c>
      <c r="AQ568">
        <v>105</v>
      </c>
      <c r="AR568">
        <v>1984</v>
      </c>
      <c r="AZ568">
        <v>1200</v>
      </c>
      <c r="BA568">
        <v>1</v>
      </c>
      <c r="BB568" t="str">
        <f t="shared" si="30"/>
        <v xml:space="preserve">N690LS  </v>
      </c>
      <c r="BC568">
        <v>1</v>
      </c>
      <c r="BE568">
        <v>0</v>
      </c>
      <c r="BF568">
        <v>0</v>
      </c>
      <c r="BG568">
        <v>0</v>
      </c>
      <c r="BH568">
        <v>11375</v>
      </c>
      <c r="BI568">
        <v>1</v>
      </c>
      <c r="BJ568">
        <v>1</v>
      </c>
      <c r="BK568">
        <v>1</v>
      </c>
      <c r="BL568">
        <v>0</v>
      </c>
      <c r="BO568">
        <v>0</v>
      </c>
      <c r="BP568">
        <v>0</v>
      </c>
      <c r="BW568" t="str">
        <f>"13:55:12.655"</f>
        <v>13:55:12.655</v>
      </c>
      <c r="CJ568">
        <v>0</v>
      </c>
      <c r="CK568">
        <v>2</v>
      </c>
      <c r="CL568">
        <v>0</v>
      </c>
      <c r="CM568">
        <v>2</v>
      </c>
      <c r="CN568">
        <v>0</v>
      </c>
      <c r="CO568">
        <v>7</v>
      </c>
      <c r="CP568" t="s">
        <v>119</v>
      </c>
      <c r="CQ568">
        <v>197</v>
      </c>
      <c r="CR568">
        <v>2</v>
      </c>
      <c r="CW568">
        <v>2341998</v>
      </c>
      <c r="CY568">
        <v>1</v>
      </c>
      <c r="CZ568">
        <v>0</v>
      </c>
      <c r="DA568">
        <v>1</v>
      </c>
      <c r="DB568">
        <v>0</v>
      </c>
      <c r="DC568">
        <v>0</v>
      </c>
      <c r="DD568">
        <v>1</v>
      </c>
      <c r="DE568">
        <v>0</v>
      </c>
      <c r="DF568">
        <v>0</v>
      </c>
      <c r="DG568">
        <v>0</v>
      </c>
      <c r="DH568">
        <v>0</v>
      </c>
      <c r="DI568">
        <v>0</v>
      </c>
    </row>
    <row r="569" spans="1:113" x14ac:dyDescent="0.3">
      <c r="A569" t="str">
        <f>"09/28/2021 13:55:13.746"</f>
        <v>09/28/2021 13:55:13.746</v>
      </c>
      <c r="C569" t="str">
        <f t="shared" si="29"/>
        <v>FFDFD3C0</v>
      </c>
      <c r="D569" t="s">
        <v>120</v>
      </c>
      <c r="E569">
        <v>12</v>
      </c>
      <c r="F569">
        <v>1012</v>
      </c>
      <c r="G569" t="s">
        <v>114</v>
      </c>
      <c r="J569" t="s">
        <v>121</v>
      </c>
      <c r="K569">
        <v>0</v>
      </c>
      <c r="L569">
        <v>3</v>
      </c>
      <c r="M569">
        <v>0</v>
      </c>
      <c r="N569">
        <v>2</v>
      </c>
      <c r="O569">
        <v>1</v>
      </c>
      <c r="P569">
        <v>0</v>
      </c>
      <c r="Q569">
        <v>0</v>
      </c>
      <c r="S569" t="str">
        <f>"13:55:13.547"</f>
        <v>13:55:13.547</v>
      </c>
      <c r="T569" t="str">
        <f>"13:55:13.147"</f>
        <v>13:55:13.147</v>
      </c>
      <c r="U569" t="str">
        <f t="shared" si="28"/>
        <v>A92BC1</v>
      </c>
      <c r="V569">
        <v>0</v>
      </c>
      <c r="W569">
        <v>0</v>
      </c>
      <c r="X569">
        <v>2</v>
      </c>
      <c r="Z569">
        <v>0</v>
      </c>
      <c r="AA569">
        <v>9</v>
      </c>
      <c r="AB569">
        <v>3</v>
      </c>
      <c r="AC569">
        <v>0</v>
      </c>
      <c r="AD569">
        <v>10</v>
      </c>
      <c r="AE569">
        <v>0</v>
      </c>
      <c r="AF569">
        <v>3</v>
      </c>
      <c r="AG569">
        <v>2</v>
      </c>
      <c r="AH569">
        <v>0</v>
      </c>
      <c r="AI569" t="s">
        <v>670</v>
      </c>
      <c r="AJ569">
        <v>45.765008999999999</v>
      </c>
      <c r="AK569" t="s">
        <v>671</v>
      </c>
      <c r="AL569">
        <v>-89.324748999999997</v>
      </c>
      <c r="AM569">
        <v>100</v>
      </c>
      <c r="AN569">
        <v>11100</v>
      </c>
      <c r="AO569" t="s">
        <v>118</v>
      </c>
      <c r="AP569">
        <v>122</v>
      </c>
      <c r="AQ569">
        <v>105</v>
      </c>
      <c r="AR569">
        <v>1984</v>
      </c>
      <c r="AZ569">
        <v>1200</v>
      </c>
      <c r="BA569">
        <v>1</v>
      </c>
      <c r="BB569" t="str">
        <f t="shared" si="30"/>
        <v xml:space="preserve">N690LS  </v>
      </c>
      <c r="BC569">
        <v>1</v>
      </c>
      <c r="BE569">
        <v>0</v>
      </c>
      <c r="BF569">
        <v>0</v>
      </c>
      <c r="BG569">
        <v>0</v>
      </c>
      <c r="BH569">
        <v>11425</v>
      </c>
      <c r="BI569">
        <v>1</v>
      </c>
      <c r="BJ569">
        <v>1</v>
      </c>
      <c r="BK569">
        <v>1</v>
      </c>
      <c r="BL569">
        <v>0</v>
      </c>
      <c r="BO569">
        <v>0</v>
      </c>
      <c r="BP569">
        <v>0</v>
      </c>
      <c r="BW569" t="str">
        <f>"13:55:13.549"</f>
        <v>13:55:13.549</v>
      </c>
      <c r="CJ569">
        <v>0</v>
      </c>
      <c r="CK569">
        <v>2</v>
      </c>
      <c r="CL569">
        <v>0</v>
      </c>
      <c r="CM569">
        <v>2</v>
      </c>
      <c r="CN569">
        <v>0</v>
      </c>
      <c r="CO569">
        <v>7</v>
      </c>
      <c r="CP569" t="s">
        <v>119</v>
      </c>
      <c r="CQ569">
        <v>197</v>
      </c>
      <c r="CR569">
        <v>2</v>
      </c>
      <c r="CW569">
        <v>2342828</v>
      </c>
      <c r="CY569">
        <v>1</v>
      </c>
      <c r="CZ569">
        <v>0</v>
      </c>
      <c r="DA569">
        <v>0</v>
      </c>
      <c r="DB569">
        <v>0</v>
      </c>
      <c r="DC569">
        <v>0</v>
      </c>
      <c r="DD569">
        <v>1</v>
      </c>
      <c r="DE569">
        <v>0</v>
      </c>
      <c r="DF569">
        <v>0</v>
      </c>
      <c r="DG569">
        <v>0</v>
      </c>
      <c r="DH569">
        <v>0</v>
      </c>
      <c r="DI569">
        <v>0</v>
      </c>
    </row>
    <row r="570" spans="1:113" x14ac:dyDescent="0.3">
      <c r="A570" t="str">
        <f>"09/28/2021 13:55:13.746"</f>
        <v>09/28/2021 13:55:13.746</v>
      </c>
      <c r="C570" t="str">
        <f t="shared" si="29"/>
        <v>FFDFD3C0</v>
      </c>
      <c r="D570" t="s">
        <v>113</v>
      </c>
      <c r="E570">
        <v>7</v>
      </c>
      <c r="H570">
        <v>170</v>
      </c>
      <c r="I570" t="s">
        <v>114</v>
      </c>
      <c r="J570" t="s">
        <v>115</v>
      </c>
      <c r="K570">
        <v>0</v>
      </c>
      <c r="L570">
        <v>3</v>
      </c>
      <c r="M570">
        <v>0</v>
      </c>
      <c r="N570">
        <v>2</v>
      </c>
      <c r="O570">
        <v>1</v>
      </c>
      <c r="P570">
        <v>0</v>
      </c>
      <c r="Q570">
        <v>0</v>
      </c>
      <c r="S570" t="str">
        <f>"13:55:13.547"</f>
        <v>13:55:13.547</v>
      </c>
      <c r="T570" t="str">
        <f>"13:55:13.147"</f>
        <v>13:55:13.147</v>
      </c>
      <c r="U570" t="str">
        <f t="shared" si="28"/>
        <v>A92BC1</v>
      </c>
      <c r="V570">
        <v>0</v>
      </c>
      <c r="W570">
        <v>0</v>
      </c>
      <c r="X570">
        <v>2</v>
      </c>
      <c r="Z570">
        <v>0</v>
      </c>
      <c r="AA570">
        <v>9</v>
      </c>
      <c r="AB570">
        <v>3</v>
      </c>
      <c r="AC570">
        <v>0</v>
      </c>
      <c r="AD570">
        <v>10</v>
      </c>
      <c r="AE570">
        <v>0</v>
      </c>
      <c r="AF570">
        <v>3</v>
      </c>
      <c r="AG570">
        <v>2</v>
      </c>
      <c r="AH570">
        <v>0</v>
      </c>
      <c r="AI570" t="s">
        <v>670</v>
      </c>
      <c r="AJ570">
        <v>45.765008999999999</v>
      </c>
      <c r="AK570" t="s">
        <v>671</v>
      </c>
      <c r="AL570">
        <v>-89.324748999999997</v>
      </c>
      <c r="AM570">
        <v>100</v>
      </c>
      <c r="AN570">
        <v>11100</v>
      </c>
      <c r="AO570" t="s">
        <v>118</v>
      </c>
      <c r="AP570">
        <v>122</v>
      </c>
      <c r="AQ570">
        <v>105</v>
      </c>
      <c r="AR570">
        <v>1984</v>
      </c>
      <c r="AZ570">
        <v>1200</v>
      </c>
      <c r="BA570">
        <v>1</v>
      </c>
      <c r="BB570" t="str">
        <f t="shared" si="30"/>
        <v xml:space="preserve">N690LS  </v>
      </c>
      <c r="BC570">
        <v>1</v>
      </c>
      <c r="BE570">
        <v>0</v>
      </c>
      <c r="BF570">
        <v>0</v>
      </c>
      <c r="BG570">
        <v>0</v>
      </c>
      <c r="BH570">
        <v>11425</v>
      </c>
      <c r="BI570">
        <v>1</v>
      </c>
      <c r="BJ570">
        <v>1</v>
      </c>
      <c r="BK570">
        <v>1</v>
      </c>
      <c r="BL570">
        <v>0</v>
      </c>
      <c r="BO570">
        <v>0</v>
      </c>
      <c r="BP570">
        <v>0</v>
      </c>
      <c r="BW570" t="str">
        <f>"13:55:13.549"</f>
        <v>13:55:13.549</v>
      </c>
      <c r="CJ570">
        <v>0</v>
      </c>
      <c r="CK570">
        <v>2</v>
      </c>
      <c r="CL570">
        <v>0</v>
      </c>
      <c r="CM570">
        <v>2</v>
      </c>
      <c r="CN570">
        <v>0</v>
      </c>
      <c r="CO570">
        <v>7</v>
      </c>
      <c r="CP570" t="s">
        <v>119</v>
      </c>
      <c r="CQ570">
        <v>197</v>
      </c>
      <c r="CR570">
        <v>2</v>
      </c>
      <c r="CW570">
        <v>2342828</v>
      </c>
      <c r="CY570">
        <v>1</v>
      </c>
      <c r="CZ570">
        <v>0</v>
      </c>
      <c r="DA570">
        <v>1</v>
      </c>
      <c r="DB570">
        <v>0</v>
      </c>
      <c r="DC570">
        <v>0</v>
      </c>
      <c r="DD570">
        <v>1</v>
      </c>
      <c r="DE570">
        <v>0</v>
      </c>
      <c r="DF570">
        <v>0</v>
      </c>
      <c r="DG570">
        <v>0</v>
      </c>
      <c r="DH570">
        <v>0</v>
      </c>
      <c r="DI570">
        <v>0</v>
      </c>
    </row>
    <row r="571" spans="1:113" x14ac:dyDescent="0.3">
      <c r="A571" t="str">
        <f>"09/28/2021 13:55:14.809"</f>
        <v>09/28/2021 13:55:14.809</v>
      </c>
      <c r="C571" t="str">
        <f t="shared" si="29"/>
        <v>FFDFD3C0</v>
      </c>
      <c r="D571" t="s">
        <v>120</v>
      </c>
      <c r="E571">
        <v>12</v>
      </c>
      <c r="F571">
        <v>1012</v>
      </c>
      <c r="G571" t="s">
        <v>114</v>
      </c>
      <c r="J571" t="s">
        <v>121</v>
      </c>
      <c r="K571">
        <v>0</v>
      </c>
      <c r="L571">
        <v>3</v>
      </c>
      <c r="M571">
        <v>0</v>
      </c>
      <c r="N571">
        <v>2</v>
      </c>
      <c r="O571">
        <v>1</v>
      </c>
      <c r="P571">
        <v>0</v>
      </c>
      <c r="Q571">
        <v>0</v>
      </c>
      <c r="S571" t="str">
        <f>"13:55:14.602"</f>
        <v>13:55:14.602</v>
      </c>
      <c r="T571" t="str">
        <f>"13:55:14.102"</f>
        <v>13:55:14.102</v>
      </c>
      <c r="U571" t="str">
        <f t="shared" si="28"/>
        <v>A92BC1</v>
      </c>
      <c r="V571">
        <v>0</v>
      </c>
      <c r="W571">
        <v>0</v>
      </c>
      <c r="X571">
        <v>2</v>
      </c>
      <c r="Z571">
        <v>0</v>
      </c>
      <c r="AA571">
        <v>9</v>
      </c>
      <c r="AB571">
        <v>3</v>
      </c>
      <c r="AC571">
        <v>0</v>
      </c>
      <c r="AD571">
        <v>10</v>
      </c>
      <c r="AE571">
        <v>0</v>
      </c>
      <c r="AF571">
        <v>3</v>
      </c>
      <c r="AG571">
        <v>2</v>
      </c>
      <c r="AH571">
        <v>0</v>
      </c>
      <c r="AI571" t="s">
        <v>672</v>
      </c>
      <c r="AJ571">
        <v>45.765523999999999</v>
      </c>
      <c r="AK571" t="s">
        <v>673</v>
      </c>
      <c r="AL571">
        <v>-89.323932999999997</v>
      </c>
      <c r="AM571">
        <v>100</v>
      </c>
      <c r="AN571">
        <v>11100</v>
      </c>
      <c r="AO571" t="s">
        <v>118</v>
      </c>
      <c r="AP571">
        <v>122</v>
      </c>
      <c r="AQ571">
        <v>104</v>
      </c>
      <c r="AR571">
        <v>1984</v>
      </c>
      <c r="AZ571">
        <v>1200</v>
      </c>
      <c r="BA571">
        <v>1</v>
      </c>
      <c r="BB571" t="str">
        <f t="shared" si="30"/>
        <v xml:space="preserve">N690LS  </v>
      </c>
      <c r="BC571">
        <v>1</v>
      </c>
      <c r="BE571">
        <v>0</v>
      </c>
      <c r="BF571">
        <v>0</v>
      </c>
      <c r="BG571">
        <v>0</v>
      </c>
      <c r="BH571">
        <v>11450</v>
      </c>
      <c r="BI571">
        <v>1</v>
      </c>
      <c r="BJ571">
        <v>1</v>
      </c>
      <c r="BK571">
        <v>1</v>
      </c>
      <c r="BL571">
        <v>0</v>
      </c>
      <c r="BO571">
        <v>0</v>
      </c>
      <c r="BP571">
        <v>0</v>
      </c>
      <c r="BW571" t="str">
        <f>"13:55:14.604"</f>
        <v>13:55:14.604</v>
      </c>
      <c r="CJ571">
        <v>0</v>
      </c>
      <c r="CK571">
        <v>2</v>
      </c>
      <c r="CL571">
        <v>0</v>
      </c>
      <c r="CM571">
        <v>2</v>
      </c>
      <c r="CN571">
        <v>0</v>
      </c>
      <c r="CO571">
        <v>7</v>
      </c>
      <c r="CP571" t="s">
        <v>119</v>
      </c>
      <c r="CQ571">
        <v>197</v>
      </c>
      <c r="CR571">
        <v>1</v>
      </c>
      <c r="CW571">
        <v>7273420</v>
      </c>
      <c r="CY571">
        <v>1</v>
      </c>
      <c r="CZ571">
        <v>0</v>
      </c>
      <c r="DA571">
        <v>0</v>
      </c>
      <c r="DB571">
        <v>0</v>
      </c>
      <c r="DC571">
        <v>0</v>
      </c>
      <c r="DD571">
        <v>1</v>
      </c>
      <c r="DE571">
        <v>0</v>
      </c>
      <c r="DF571">
        <v>0</v>
      </c>
      <c r="DG571">
        <v>0</v>
      </c>
      <c r="DH571">
        <v>0</v>
      </c>
      <c r="DI571">
        <v>0</v>
      </c>
    </row>
    <row r="572" spans="1:113" x14ac:dyDescent="0.3">
      <c r="A572" t="str">
        <f>"09/28/2021 13:55:14.824"</f>
        <v>09/28/2021 13:55:14.824</v>
      </c>
      <c r="C572" t="str">
        <f t="shared" si="29"/>
        <v>FFDFD3C0</v>
      </c>
      <c r="D572" t="s">
        <v>113</v>
      </c>
      <c r="E572">
        <v>7</v>
      </c>
      <c r="H572">
        <v>170</v>
      </c>
      <c r="I572" t="s">
        <v>114</v>
      </c>
      <c r="J572" t="s">
        <v>115</v>
      </c>
      <c r="K572">
        <v>0</v>
      </c>
      <c r="L572">
        <v>3</v>
      </c>
      <c r="M572">
        <v>0</v>
      </c>
      <c r="N572">
        <v>2</v>
      </c>
      <c r="O572">
        <v>1</v>
      </c>
      <c r="P572">
        <v>0</v>
      </c>
      <c r="Q572">
        <v>0</v>
      </c>
      <c r="S572" t="str">
        <f>"13:55:14.602"</f>
        <v>13:55:14.602</v>
      </c>
      <c r="T572" t="str">
        <f>"13:55:14.102"</f>
        <v>13:55:14.102</v>
      </c>
      <c r="U572" t="str">
        <f t="shared" si="28"/>
        <v>A92BC1</v>
      </c>
      <c r="V572">
        <v>0</v>
      </c>
      <c r="W572">
        <v>0</v>
      </c>
      <c r="X572">
        <v>2</v>
      </c>
      <c r="Z572">
        <v>0</v>
      </c>
      <c r="AA572">
        <v>9</v>
      </c>
      <c r="AB572">
        <v>3</v>
      </c>
      <c r="AC572">
        <v>0</v>
      </c>
      <c r="AD572">
        <v>10</v>
      </c>
      <c r="AE572">
        <v>0</v>
      </c>
      <c r="AF572">
        <v>3</v>
      </c>
      <c r="AG572">
        <v>2</v>
      </c>
      <c r="AH572">
        <v>0</v>
      </c>
      <c r="AI572" t="s">
        <v>672</v>
      </c>
      <c r="AJ572">
        <v>45.765523999999999</v>
      </c>
      <c r="AK572" t="s">
        <v>673</v>
      </c>
      <c r="AL572">
        <v>-89.323932999999997</v>
      </c>
      <c r="AM572">
        <v>100</v>
      </c>
      <c r="AN572">
        <v>11100</v>
      </c>
      <c r="AO572" t="s">
        <v>118</v>
      </c>
      <c r="AP572">
        <v>122</v>
      </c>
      <c r="AQ572">
        <v>104</v>
      </c>
      <c r="AR572">
        <v>1984</v>
      </c>
      <c r="AZ572">
        <v>1200</v>
      </c>
      <c r="BA572">
        <v>1</v>
      </c>
      <c r="BB572" t="str">
        <f t="shared" si="30"/>
        <v xml:space="preserve">N690LS  </v>
      </c>
      <c r="BC572">
        <v>1</v>
      </c>
      <c r="BE572">
        <v>0</v>
      </c>
      <c r="BF572">
        <v>0</v>
      </c>
      <c r="BG572">
        <v>0</v>
      </c>
      <c r="BH572">
        <v>11450</v>
      </c>
      <c r="BI572">
        <v>1</v>
      </c>
      <c r="BJ572">
        <v>1</v>
      </c>
      <c r="BK572">
        <v>1</v>
      </c>
      <c r="BL572">
        <v>0</v>
      </c>
      <c r="BO572">
        <v>0</v>
      </c>
      <c r="BP572">
        <v>0</v>
      </c>
      <c r="BW572" t="str">
        <f>"13:55:14.604"</f>
        <v>13:55:14.604</v>
      </c>
      <c r="CJ572">
        <v>0</v>
      </c>
      <c r="CK572">
        <v>2</v>
      </c>
      <c r="CL572">
        <v>0</v>
      </c>
      <c r="CM572">
        <v>2</v>
      </c>
      <c r="CN572">
        <v>0</v>
      </c>
      <c r="CO572">
        <v>7</v>
      </c>
      <c r="CP572" t="s">
        <v>119</v>
      </c>
      <c r="CQ572">
        <v>197</v>
      </c>
      <c r="CR572">
        <v>1</v>
      </c>
      <c r="CW572">
        <v>7273420</v>
      </c>
      <c r="CY572">
        <v>1</v>
      </c>
      <c r="CZ572">
        <v>0</v>
      </c>
      <c r="DA572">
        <v>1</v>
      </c>
      <c r="DB572">
        <v>0</v>
      </c>
      <c r="DC572">
        <v>0</v>
      </c>
      <c r="DD572">
        <v>1</v>
      </c>
      <c r="DE572">
        <v>0</v>
      </c>
      <c r="DF572">
        <v>0</v>
      </c>
      <c r="DG572">
        <v>0</v>
      </c>
      <c r="DH572">
        <v>0</v>
      </c>
      <c r="DI572">
        <v>0</v>
      </c>
    </row>
    <row r="573" spans="1:113" x14ac:dyDescent="0.3">
      <c r="A573" t="str">
        <f>"09/28/2021 13:55:15.824"</f>
        <v>09/28/2021 13:55:15.824</v>
      </c>
      <c r="C573" t="str">
        <f t="shared" si="29"/>
        <v>FFDFD3C0</v>
      </c>
      <c r="D573" t="s">
        <v>120</v>
      </c>
      <c r="E573">
        <v>12</v>
      </c>
      <c r="F573">
        <v>1012</v>
      </c>
      <c r="G573" t="s">
        <v>114</v>
      </c>
      <c r="J573" t="s">
        <v>121</v>
      </c>
      <c r="K573">
        <v>0</v>
      </c>
      <c r="L573">
        <v>3</v>
      </c>
      <c r="M573">
        <v>0</v>
      </c>
      <c r="N573">
        <v>2</v>
      </c>
      <c r="O573">
        <v>1</v>
      </c>
      <c r="P573">
        <v>0</v>
      </c>
      <c r="Q573">
        <v>0</v>
      </c>
      <c r="S573" t="str">
        <f>"13:55:15.602"</f>
        <v>13:55:15.602</v>
      </c>
      <c r="T573" t="str">
        <f>"13:55:15.102"</f>
        <v>13:55:15.102</v>
      </c>
      <c r="U573" t="str">
        <f t="shared" si="28"/>
        <v>A92BC1</v>
      </c>
      <c r="V573">
        <v>0</v>
      </c>
      <c r="W573">
        <v>0</v>
      </c>
      <c r="X573">
        <v>2</v>
      </c>
      <c r="Z573">
        <v>0</v>
      </c>
      <c r="AA573">
        <v>9</v>
      </c>
      <c r="AB573">
        <v>3</v>
      </c>
      <c r="AC573">
        <v>0</v>
      </c>
      <c r="AD573">
        <v>10</v>
      </c>
      <c r="AE573">
        <v>0</v>
      </c>
      <c r="AF573">
        <v>3</v>
      </c>
      <c r="AG573">
        <v>2</v>
      </c>
      <c r="AH573">
        <v>0</v>
      </c>
      <c r="AI573" t="s">
        <v>674</v>
      </c>
      <c r="AJ573">
        <v>45.765974999999997</v>
      </c>
      <c r="AK573" t="s">
        <v>675</v>
      </c>
      <c r="AL573">
        <v>-89.323075000000003</v>
      </c>
      <c r="AM573">
        <v>100</v>
      </c>
      <c r="AN573">
        <v>11100</v>
      </c>
      <c r="AO573" t="s">
        <v>118</v>
      </c>
      <c r="AP573">
        <v>123</v>
      </c>
      <c r="AQ573">
        <v>104</v>
      </c>
      <c r="AR573">
        <v>1984</v>
      </c>
      <c r="AZ573">
        <v>1200</v>
      </c>
      <c r="BA573">
        <v>1</v>
      </c>
      <c r="BB573" t="str">
        <f t="shared" si="30"/>
        <v xml:space="preserve">N690LS  </v>
      </c>
      <c r="BC573">
        <v>1</v>
      </c>
      <c r="BE573">
        <v>0</v>
      </c>
      <c r="BF573">
        <v>0</v>
      </c>
      <c r="BG573">
        <v>0</v>
      </c>
      <c r="BH573">
        <v>11475</v>
      </c>
      <c r="BI573">
        <v>1</v>
      </c>
      <c r="BJ573">
        <v>1</v>
      </c>
      <c r="BK573">
        <v>1</v>
      </c>
      <c r="BL573">
        <v>0</v>
      </c>
      <c r="BO573">
        <v>0</v>
      </c>
      <c r="BP573">
        <v>0</v>
      </c>
      <c r="BW573" t="str">
        <f>"13:55:15.609"</f>
        <v>13:55:15.609</v>
      </c>
      <c r="CJ573">
        <v>0</v>
      </c>
      <c r="CK573">
        <v>2</v>
      </c>
      <c r="CL573">
        <v>0</v>
      </c>
      <c r="CM573">
        <v>2</v>
      </c>
      <c r="CN573">
        <v>0</v>
      </c>
      <c r="CO573">
        <v>7</v>
      </c>
      <c r="CP573" t="s">
        <v>119</v>
      </c>
      <c r="CQ573">
        <v>197</v>
      </c>
      <c r="CR573">
        <v>1</v>
      </c>
      <c r="CW573">
        <v>7274581</v>
      </c>
      <c r="CY573">
        <v>1</v>
      </c>
      <c r="CZ573">
        <v>0</v>
      </c>
      <c r="DA573">
        <v>0</v>
      </c>
      <c r="DB573">
        <v>0</v>
      </c>
      <c r="DC573">
        <v>0</v>
      </c>
      <c r="DD573">
        <v>1</v>
      </c>
      <c r="DE573">
        <v>0</v>
      </c>
      <c r="DF573">
        <v>0</v>
      </c>
      <c r="DG573">
        <v>0</v>
      </c>
      <c r="DH573">
        <v>0</v>
      </c>
      <c r="DI573">
        <v>0</v>
      </c>
    </row>
    <row r="574" spans="1:113" x14ac:dyDescent="0.3">
      <c r="A574" t="str">
        <f>"09/28/2021 13:55:15.824"</f>
        <v>09/28/2021 13:55:15.824</v>
      </c>
      <c r="C574" t="str">
        <f t="shared" si="29"/>
        <v>FFDFD3C0</v>
      </c>
      <c r="D574" t="s">
        <v>113</v>
      </c>
      <c r="E574">
        <v>7</v>
      </c>
      <c r="H574">
        <v>170</v>
      </c>
      <c r="I574" t="s">
        <v>114</v>
      </c>
      <c r="J574" t="s">
        <v>115</v>
      </c>
      <c r="K574">
        <v>0</v>
      </c>
      <c r="L574">
        <v>3</v>
      </c>
      <c r="M574">
        <v>0</v>
      </c>
      <c r="N574">
        <v>2</v>
      </c>
      <c r="O574">
        <v>1</v>
      </c>
      <c r="P574">
        <v>0</v>
      </c>
      <c r="Q574">
        <v>0</v>
      </c>
      <c r="S574" t="str">
        <f>"13:55:15.602"</f>
        <v>13:55:15.602</v>
      </c>
      <c r="T574" t="str">
        <f>"13:55:15.102"</f>
        <v>13:55:15.102</v>
      </c>
      <c r="U574" t="str">
        <f t="shared" si="28"/>
        <v>A92BC1</v>
      </c>
      <c r="V574">
        <v>0</v>
      </c>
      <c r="W574">
        <v>0</v>
      </c>
      <c r="X574">
        <v>2</v>
      </c>
      <c r="Z574">
        <v>0</v>
      </c>
      <c r="AA574">
        <v>9</v>
      </c>
      <c r="AB574">
        <v>3</v>
      </c>
      <c r="AC574">
        <v>0</v>
      </c>
      <c r="AD574">
        <v>10</v>
      </c>
      <c r="AE574">
        <v>0</v>
      </c>
      <c r="AF574">
        <v>3</v>
      </c>
      <c r="AG574">
        <v>2</v>
      </c>
      <c r="AH574">
        <v>0</v>
      </c>
      <c r="AI574" t="s">
        <v>674</v>
      </c>
      <c r="AJ574">
        <v>45.765974999999997</v>
      </c>
      <c r="AK574" t="s">
        <v>675</v>
      </c>
      <c r="AL574">
        <v>-89.323075000000003</v>
      </c>
      <c r="AM574">
        <v>100</v>
      </c>
      <c r="AN574">
        <v>11100</v>
      </c>
      <c r="AO574" t="s">
        <v>118</v>
      </c>
      <c r="AP574">
        <v>123</v>
      </c>
      <c r="AQ574">
        <v>104</v>
      </c>
      <c r="AR574">
        <v>1984</v>
      </c>
      <c r="AZ574">
        <v>1200</v>
      </c>
      <c r="BA574">
        <v>1</v>
      </c>
      <c r="BB574" t="str">
        <f t="shared" si="30"/>
        <v xml:space="preserve">N690LS  </v>
      </c>
      <c r="BC574">
        <v>1</v>
      </c>
      <c r="BE574">
        <v>0</v>
      </c>
      <c r="BF574">
        <v>0</v>
      </c>
      <c r="BG574">
        <v>0</v>
      </c>
      <c r="BH574">
        <v>11475</v>
      </c>
      <c r="BI574">
        <v>1</v>
      </c>
      <c r="BJ574">
        <v>1</v>
      </c>
      <c r="BK574">
        <v>1</v>
      </c>
      <c r="BL574">
        <v>0</v>
      </c>
      <c r="BO574">
        <v>0</v>
      </c>
      <c r="BP574">
        <v>0</v>
      </c>
      <c r="BW574" t="str">
        <f>"13:55:15.609"</f>
        <v>13:55:15.609</v>
      </c>
      <c r="CJ574">
        <v>0</v>
      </c>
      <c r="CK574">
        <v>2</v>
      </c>
      <c r="CL574">
        <v>0</v>
      </c>
      <c r="CM574">
        <v>2</v>
      </c>
      <c r="CN574">
        <v>0</v>
      </c>
      <c r="CO574">
        <v>7</v>
      </c>
      <c r="CP574" t="s">
        <v>119</v>
      </c>
      <c r="CQ574">
        <v>197</v>
      </c>
      <c r="CR574">
        <v>1</v>
      </c>
      <c r="CW574">
        <v>7274581</v>
      </c>
      <c r="CY574">
        <v>1</v>
      </c>
      <c r="CZ574">
        <v>0</v>
      </c>
      <c r="DA574">
        <v>1</v>
      </c>
      <c r="DB574">
        <v>0</v>
      </c>
      <c r="DC574">
        <v>0</v>
      </c>
      <c r="DD574">
        <v>1</v>
      </c>
      <c r="DE574">
        <v>0</v>
      </c>
      <c r="DF574">
        <v>0</v>
      </c>
      <c r="DG574">
        <v>0</v>
      </c>
      <c r="DH574">
        <v>0</v>
      </c>
      <c r="DI574">
        <v>0</v>
      </c>
    </row>
    <row r="575" spans="1:113" x14ac:dyDescent="0.3">
      <c r="A575" t="str">
        <f>"09/28/2021 13:55:16.885"</f>
        <v>09/28/2021 13:55:16.885</v>
      </c>
      <c r="C575" t="str">
        <f t="shared" si="29"/>
        <v>FFDFD3C0</v>
      </c>
      <c r="D575" t="s">
        <v>120</v>
      </c>
      <c r="E575">
        <v>12</v>
      </c>
      <c r="F575">
        <v>1012</v>
      </c>
      <c r="G575" t="s">
        <v>114</v>
      </c>
      <c r="J575" t="s">
        <v>121</v>
      </c>
      <c r="K575">
        <v>0</v>
      </c>
      <c r="L575">
        <v>3</v>
      </c>
      <c r="M575">
        <v>0</v>
      </c>
      <c r="N575">
        <v>2</v>
      </c>
      <c r="O575">
        <v>1</v>
      </c>
      <c r="P575">
        <v>0</v>
      </c>
      <c r="Q575">
        <v>0</v>
      </c>
      <c r="S575" t="str">
        <f>"13:55:16.688"</f>
        <v>13:55:16.688</v>
      </c>
      <c r="T575" t="str">
        <f>"13:55:16.188"</f>
        <v>13:55:16.188</v>
      </c>
      <c r="U575" t="str">
        <f t="shared" si="28"/>
        <v>A92BC1</v>
      </c>
      <c r="V575">
        <v>0</v>
      </c>
      <c r="W575">
        <v>0</v>
      </c>
      <c r="X575">
        <v>2</v>
      </c>
      <c r="Z575">
        <v>0</v>
      </c>
      <c r="AA575">
        <v>9</v>
      </c>
      <c r="AB575">
        <v>3</v>
      </c>
      <c r="AC575">
        <v>0</v>
      </c>
      <c r="AD575">
        <v>10</v>
      </c>
      <c r="AE575">
        <v>0</v>
      </c>
      <c r="AF575">
        <v>3</v>
      </c>
      <c r="AG575">
        <v>2</v>
      </c>
      <c r="AH575">
        <v>0</v>
      </c>
      <c r="AI575" t="s">
        <v>676</v>
      </c>
      <c r="AJ575">
        <v>45.766531999999998</v>
      </c>
      <c r="AK575" t="s">
        <v>677</v>
      </c>
      <c r="AL575">
        <v>-89.322216999999995</v>
      </c>
      <c r="AM575">
        <v>100</v>
      </c>
      <c r="AN575">
        <v>11200</v>
      </c>
      <c r="AO575" t="s">
        <v>118</v>
      </c>
      <c r="AP575">
        <v>123</v>
      </c>
      <c r="AQ575">
        <v>104</v>
      </c>
      <c r="AR575">
        <v>1984</v>
      </c>
      <c r="AZ575">
        <v>1200</v>
      </c>
      <c r="BA575">
        <v>1</v>
      </c>
      <c r="BB575" t="str">
        <f t="shared" si="30"/>
        <v xml:space="preserve">N690LS  </v>
      </c>
      <c r="BC575">
        <v>1</v>
      </c>
      <c r="BE575">
        <v>0</v>
      </c>
      <c r="BF575">
        <v>0</v>
      </c>
      <c r="BG575">
        <v>0</v>
      </c>
      <c r="BH575">
        <v>11525</v>
      </c>
      <c r="BI575">
        <v>1</v>
      </c>
      <c r="BJ575">
        <v>1</v>
      </c>
      <c r="BK575">
        <v>1</v>
      </c>
      <c r="BL575">
        <v>0</v>
      </c>
      <c r="BO575">
        <v>0</v>
      </c>
      <c r="BP575">
        <v>0</v>
      </c>
      <c r="BW575" t="str">
        <f>"13:55:16.688"</f>
        <v>13:55:16.688</v>
      </c>
      <c r="CJ575">
        <v>0</v>
      </c>
      <c r="CK575">
        <v>2</v>
      </c>
      <c r="CL575">
        <v>0</v>
      </c>
      <c r="CM575">
        <v>2</v>
      </c>
      <c r="CN575">
        <v>0</v>
      </c>
      <c r="CO575">
        <v>7</v>
      </c>
      <c r="CP575" t="s">
        <v>119</v>
      </c>
      <c r="CQ575">
        <v>197</v>
      </c>
      <c r="CR575">
        <v>2</v>
      </c>
      <c r="CW575">
        <v>2345443</v>
      </c>
      <c r="CY575">
        <v>1</v>
      </c>
      <c r="CZ575">
        <v>0</v>
      </c>
      <c r="DA575">
        <v>0</v>
      </c>
      <c r="DB575">
        <v>0</v>
      </c>
      <c r="DC575">
        <v>0</v>
      </c>
      <c r="DD575">
        <v>1</v>
      </c>
      <c r="DE575">
        <v>0</v>
      </c>
      <c r="DF575">
        <v>0</v>
      </c>
      <c r="DG575">
        <v>0</v>
      </c>
      <c r="DH575">
        <v>0</v>
      </c>
      <c r="DI575">
        <v>0</v>
      </c>
    </row>
    <row r="576" spans="1:113" x14ac:dyDescent="0.3">
      <c r="A576" t="str">
        <f>"09/28/2021 13:55:16.885"</f>
        <v>09/28/2021 13:55:16.885</v>
      </c>
      <c r="C576" t="str">
        <f t="shared" si="29"/>
        <v>FFDFD3C0</v>
      </c>
      <c r="D576" t="s">
        <v>113</v>
      </c>
      <c r="E576">
        <v>7</v>
      </c>
      <c r="H576">
        <v>170</v>
      </c>
      <c r="I576" t="s">
        <v>114</v>
      </c>
      <c r="J576" t="s">
        <v>115</v>
      </c>
      <c r="K576">
        <v>0</v>
      </c>
      <c r="L576">
        <v>3</v>
      </c>
      <c r="M576">
        <v>0</v>
      </c>
      <c r="N576">
        <v>2</v>
      </c>
      <c r="O576">
        <v>1</v>
      </c>
      <c r="P576">
        <v>0</v>
      </c>
      <c r="Q576">
        <v>0</v>
      </c>
      <c r="S576" t="str">
        <f>"13:55:16.688"</f>
        <v>13:55:16.688</v>
      </c>
      <c r="T576" t="str">
        <f>"13:55:16.188"</f>
        <v>13:55:16.188</v>
      </c>
      <c r="U576" t="str">
        <f t="shared" si="28"/>
        <v>A92BC1</v>
      </c>
      <c r="V576">
        <v>0</v>
      </c>
      <c r="W576">
        <v>0</v>
      </c>
      <c r="X576">
        <v>2</v>
      </c>
      <c r="Z576">
        <v>0</v>
      </c>
      <c r="AA576">
        <v>9</v>
      </c>
      <c r="AB576">
        <v>3</v>
      </c>
      <c r="AC576">
        <v>0</v>
      </c>
      <c r="AD576">
        <v>10</v>
      </c>
      <c r="AE576">
        <v>0</v>
      </c>
      <c r="AF576">
        <v>3</v>
      </c>
      <c r="AG576">
        <v>2</v>
      </c>
      <c r="AH576">
        <v>0</v>
      </c>
      <c r="AI576" t="s">
        <v>676</v>
      </c>
      <c r="AJ576">
        <v>45.766531999999998</v>
      </c>
      <c r="AK576" t="s">
        <v>677</v>
      </c>
      <c r="AL576">
        <v>-89.322216999999995</v>
      </c>
      <c r="AM576">
        <v>100</v>
      </c>
      <c r="AN576">
        <v>11200</v>
      </c>
      <c r="AO576" t="s">
        <v>118</v>
      </c>
      <c r="AP576">
        <v>123</v>
      </c>
      <c r="AQ576">
        <v>104</v>
      </c>
      <c r="AR576">
        <v>1984</v>
      </c>
      <c r="AZ576">
        <v>1200</v>
      </c>
      <c r="BA576">
        <v>1</v>
      </c>
      <c r="BB576" t="str">
        <f t="shared" si="30"/>
        <v xml:space="preserve">N690LS  </v>
      </c>
      <c r="BC576">
        <v>1</v>
      </c>
      <c r="BE576">
        <v>0</v>
      </c>
      <c r="BF576">
        <v>0</v>
      </c>
      <c r="BG576">
        <v>0</v>
      </c>
      <c r="BH576">
        <v>11525</v>
      </c>
      <c r="BI576">
        <v>1</v>
      </c>
      <c r="BJ576">
        <v>1</v>
      </c>
      <c r="BK576">
        <v>1</v>
      </c>
      <c r="BL576">
        <v>0</v>
      </c>
      <c r="BO576">
        <v>0</v>
      </c>
      <c r="BP576">
        <v>0</v>
      </c>
      <c r="BW576" t="str">
        <f>"13:55:16.688"</f>
        <v>13:55:16.688</v>
      </c>
      <c r="CJ576">
        <v>0</v>
      </c>
      <c r="CK576">
        <v>2</v>
      </c>
      <c r="CL576">
        <v>0</v>
      </c>
      <c r="CM576">
        <v>2</v>
      </c>
      <c r="CN576">
        <v>0</v>
      </c>
      <c r="CO576">
        <v>7</v>
      </c>
      <c r="CP576" t="s">
        <v>119</v>
      </c>
      <c r="CQ576">
        <v>197</v>
      </c>
      <c r="CR576">
        <v>2</v>
      </c>
      <c r="CW576">
        <v>2345443</v>
      </c>
      <c r="CY576">
        <v>1</v>
      </c>
      <c r="CZ576">
        <v>0</v>
      </c>
      <c r="DA576">
        <v>1</v>
      </c>
      <c r="DB576">
        <v>0</v>
      </c>
      <c r="DC576">
        <v>0</v>
      </c>
      <c r="DD576">
        <v>1</v>
      </c>
      <c r="DE576">
        <v>0</v>
      </c>
      <c r="DF576">
        <v>0</v>
      </c>
      <c r="DG576">
        <v>0</v>
      </c>
      <c r="DH576">
        <v>0</v>
      </c>
      <c r="DI576">
        <v>0</v>
      </c>
    </row>
    <row r="577" spans="1:113" x14ac:dyDescent="0.3">
      <c r="A577" t="str">
        <f>"09/28/2021 13:55:17.914"</f>
        <v>09/28/2021 13:55:17.914</v>
      </c>
      <c r="C577" t="str">
        <f t="shared" si="29"/>
        <v>FFDFD3C0</v>
      </c>
      <c r="D577" t="s">
        <v>120</v>
      </c>
      <c r="E577">
        <v>12</v>
      </c>
      <c r="F577">
        <v>1012</v>
      </c>
      <c r="G577" t="s">
        <v>114</v>
      </c>
      <c r="J577" t="s">
        <v>121</v>
      </c>
      <c r="K577">
        <v>0</v>
      </c>
      <c r="L577">
        <v>3</v>
      </c>
      <c r="M577">
        <v>0</v>
      </c>
      <c r="N577">
        <v>2</v>
      </c>
      <c r="O577">
        <v>1</v>
      </c>
      <c r="P577">
        <v>0</v>
      </c>
      <c r="Q577">
        <v>0</v>
      </c>
      <c r="S577" t="str">
        <f>"13:55:17.695"</f>
        <v>13:55:17.695</v>
      </c>
      <c r="T577" t="str">
        <f>"13:55:17.195"</f>
        <v>13:55:17.195</v>
      </c>
      <c r="U577" t="str">
        <f t="shared" si="28"/>
        <v>A92BC1</v>
      </c>
      <c r="V577">
        <v>0</v>
      </c>
      <c r="W577">
        <v>0</v>
      </c>
      <c r="X577">
        <v>2</v>
      </c>
      <c r="Z577">
        <v>0</v>
      </c>
      <c r="AA577">
        <v>9</v>
      </c>
      <c r="AB577">
        <v>3</v>
      </c>
      <c r="AC577">
        <v>0</v>
      </c>
      <c r="AD577">
        <v>10</v>
      </c>
      <c r="AE577">
        <v>0</v>
      </c>
      <c r="AF577">
        <v>3</v>
      </c>
      <c r="AG577">
        <v>2</v>
      </c>
      <c r="AH577">
        <v>0</v>
      </c>
      <c r="AI577" t="s">
        <v>678</v>
      </c>
      <c r="AJ577">
        <v>45.767004</v>
      </c>
      <c r="AK577" t="s">
        <v>679</v>
      </c>
      <c r="AL577">
        <v>-89.321380000000005</v>
      </c>
      <c r="AM577">
        <v>100</v>
      </c>
      <c r="AN577">
        <v>11200</v>
      </c>
      <c r="AO577" t="s">
        <v>118</v>
      </c>
      <c r="AP577">
        <v>123</v>
      </c>
      <c r="AQ577">
        <v>103</v>
      </c>
      <c r="AR577">
        <v>1984</v>
      </c>
      <c r="AZ577">
        <v>1200</v>
      </c>
      <c r="BA577">
        <v>1</v>
      </c>
      <c r="BB577" t="str">
        <f t="shared" si="30"/>
        <v xml:space="preserve">N690LS  </v>
      </c>
      <c r="BC577">
        <v>1</v>
      </c>
      <c r="BE577">
        <v>0</v>
      </c>
      <c r="BF577">
        <v>0</v>
      </c>
      <c r="BG577">
        <v>0</v>
      </c>
      <c r="BH577">
        <v>11550</v>
      </c>
      <c r="BI577">
        <v>1</v>
      </c>
      <c r="BJ577">
        <v>1</v>
      </c>
      <c r="BK577">
        <v>1</v>
      </c>
      <c r="BL577">
        <v>0</v>
      </c>
      <c r="BO577">
        <v>0</v>
      </c>
      <c r="BP577">
        <v>0</v>
      </c>
      <c r="BW577" t="str">
        <f>"13:55:17.696"</f>
        <v>13:55:17.696</v>
      </c>
      <c r="CJ577">
        <v>0</v>
      </c>
      <c r="CK577">
        <v>2</v>
      </c>
      <c r="CL577">
        <v>0</v>
      </c>
      <c r="CM577">
        <v>2</v>
      </c>
      <c r="CN577">
        <v>0</v>
      </c>
      <c r="CO577">
        <v>7</v>
      </c>
      <c r="CP577" t="s">
        <v>119</v>
      </c>
      <c r="CQ577">
        <v>197</v>
      </c>
      <c r="CR577">
        <v>1</v>
      </c>
      <c r="CW577">
        <v>7276904</v>
      </c>
      <c r="CY577">
        <v>1</v>
      </c>
      <c r="CZ577">
        <v>0</v>
      </c>
      <c r="DA577">
        <v>0</v>
      </c>
      <c r="DB577">
        <v>0</v>
      </c>
      <c r="DC577">
        <v>0</v>
      </c>
      <c r="DD577">
        <v>1</v>
      </c>
      <c r="DE577">
        <v>0</v>
      </c>
      <c r="DF577">
        <v>0</v>
      </c>
      <c r="DG577">
        <v>0</v>
      </c>
      <c r="DH577">
        <v>0</v>
      </c>
      <c r="DI577">
        <v>0</v>
      </c>
    </row>
    <row r="578" spans="1:113" x14ac:dyDescent="0.3">
      <c r="A578" t="str">
        <f>"09/28/2021 13:55:17.914"</f>
        <v>09/28/2021 13:55:17.914</v>
      </c>
      <c r="C578" t="str">
        <f t="shared" si="29"/>
        <v>FFDFD3C0</v>
      </c>
      <c r="D578" t="s">
        <v>113</v>
      </c>
      <c r="E578">
        <v>7</v>
      </c>
      <c r="H578">
        <v>170</v>
      </c>
      <c r="I578" t="s">
        <v>114</v>
      </c>
      <c r="J578" t="s">
        <v>115</v>
      </c>
      <c r="K578">
        <v>0</v>
      </c>
      <c r="L578">
        <v>3</v>
      </c>
      <c r="M578">
        <v>0</v>
      </c>
      <c r="N578">
        <v>2</v>
      </c>
      <c r="O578">
        <v>1</v>
      </c>
      <c r="P578">
        <v>0</v>
      </c>
      <c r="Q578">
        <v>0</v>
      </c>
      <c r="S578" t="str">
        <f>"13:55:17.695"</f>
        <v>13:55:17.695</v>
      </c>
      <c r="T578" t="str">
        <f>"13:55:17.195"</f>
        <v>13:55:17.195</v>
      </c>
      <c r="U578" t="str">
        <f t="shared" ref="U578:U641" si="31">"A92BC1"</f>
        <v>A92BC1</v>
      </c>
      <c r="V578">
        <v>0</v>
      </c>
      <c r="W578">
        <v>0</v>
      </c>
      <c r="X578">
        <v>2</v>
      </c>
      <c r="Z578">
        <v>0</v>
      </c>
      <c r="AA578">
        <v>9</v>
      </c>
      <c r="AB578">
        <v>3</v>
      </c>
      <c r="AC578">
        <v>0</v>
      </c>
      <c r="AD578">
        <v>10</v>
      </c>
      <c r="AE578">
        <v>0</v>
      </c>
      <c r="AF578">
        <v>3</v>
      </c>
      <c r="AG578">
        <v>2</v>
      </c>
      <c r="AH578">
        <v>0</v>
      </c>
      <c r="AI578" t="s">
        <v>678</v>
      </c>
      <c r="AJ578">
        <v>45.767004</v>
      </c>
      <c r="AK578" t="s">
        <v>679</v>
      </c>
      <c r="AL578">
        <v>-89.321380000000005</v>
      </c>
      <c r="AM578">
        <v>100</v>
      </c>
      <c r="AN578">
        <v>11200</v>
      </c>
      <c r="AO578" t="s">
        <v>118</v>
      </c>
      <c r="AP578">
        <v>123</v>
      </c>
      <c r="AQ578">
        <v>103</v>
      </c>
      <c r="AR578">
        <v>1984</v>
      </c>
      <c r="AZ578">
        <v>1200</v>
      </c>
      <c r="BA578">
        <v>1</v>
      </c>
      <c r="BB578" t="str">
        <f t="shared" si="30"/>
        <v xml:space="preserve">N690LS  </v>
      </c>
      <c r="BC578">
        <v>1</v>
      </c>
      <c r="BE578">
        <v>0</v>
      </c>
      <c r="BF578">
        <v>0</v>
      </c>
      <c r="BG578">
        <v>0</v>
      </c>
      <c r="BH578">
        <v>11550</v>
      </c>
      <c r="BI578">
        <v>1</v>
      </c>
      <c r="BJ578">
        <v>1</v>
      </c>
      <c r="BK578">
        <v>1</v>
      </c>
      <c r="BL578">
        <v>0</v>
      </c>
      <c r="BO578">
        <v>0</v>
      </c>
      <c r="BP578">
        <v>0</v>
      </c>
      <c r="BW578" t="str">
        <f>"13:55:17.696"</f>
        <v>13:55:17.696</v>
      </c>
      <c r="CJ578">
        <v>0</v>
      </c>
      <c r="CK578">
        <v>2</v>
      </c>
      <c r="CL578">
        <v>0</v>
      </c>
      <c r="CM578">
        <v>2</v>
      </c>
      <c r="CN578">
        <v>0</v>
      </c>
      <c r="CO578">
        <v>7</v>
      </c>
      <c r="CP578" t="s">
        <v>119</v>
      </c>
      <c r="CQ578">
        <v>197</v>
      </c>
      <c r="CR578">
        <v>1</v>
      </c>
      <c r="CW578">
        <v>7276904</v>
      </c>
      <c r="CY578">
        <v>1</v>
      </c>
      <c r="CZ578">
        <v>0</v>
      </c>
      <c r="DA578">
        <v>1</v>
      </c>
      <c r="DB578">
        <v>0</v>
      </c>
      <c r="DC578">
        <v>0</v>
      </c>
      <c r="DD578">
        <v>1</v>
      </c>
      <c r="DE578">
        <v>0</v>
      </c>
      <c r="DF578">
        <v>0</v>
      </c>
      <c r="DG578">
        <v>0</v>
      </c>
      <c r="DH578">
        <v>0</v>
      </c>
      <c r="DI578">
        <v>0</v>
      </c>
    </row>
    <row r="579" spans="1:113" x14ac:dyDescent="0.3">
      <c r="A579" t="str">
        <f>"09/28/2021 13:55:18.993"</f>
        <v>09/28/2021 13:55:18.993</v>
      </c>
      <c r="C579" t="str">
        <f t="shared" si="29"/>
        <v>FFDFD3C0</v>
      </c>
      <c r="D579" t="s">
        <v>120</v>
      </c>
      <c r="E579">
        <v>12</v>
      </c>
      <c r="F579">
        <v>1012</v>
      </c>
      <c r="G579" t="s">
        <v>114</v>
      </c>
      <c r="J579" t="s">
        <v>121</v>
      </c>
      <c r="K579">
        <v>0</v>
      </c>
      <c r="L579">
        <v>3</v>
      </c>
      <c r="M579">
        <v>0</v>
      </c>
      <c r="N579">
        <v>2</v>
      </c>
      <c r="O579">
        <v>1</v>
      </c>
      <c r="P579">
        <v>0</v>
      </c>
      <c r="Q579">
        <v>0</v>
      </c>
      <c r="S579" t="str">
        <f>"13:55:18.805"</f>
        <v>13:55:18.805</v>
      </c>
      <c r="T579" t="str">
        <f>"13:55:18.305"</f>
        <v>13:55:18.305</v>
      </c>
      <c r="U579" t="str">
        <f t="shared" si="31"/>
        <v>A92BC1</v>
      </c>
      <c r="V579">
        <v>0</v>
      </c>
      <c r="W579">
        <v>0</v>
      </c>
      <c r="X579">
        <v>2</v>
      </c>
      <c r="Z579">
        <v>0</v>
      </c>
      <c r="AA579">
        <v>9</v>
      </c>
      <c r="AB579">
        <v>3</v>
      </c>
      <c r="AC579">
        <v>0</v>
      </c>
      <c r="AD579">
        <v>10</v>
      </c>
      <c r="AE579">
        <v>0</v>
      </c>
      <c r="AF579">
        <v>3</v>
      </c>
      <c r="AG579">
        <v>2</v>
      </c>
      <c r="AH579">
        <v>0</v>
      </c>
      <c r="AI579" t="s">
        <v>680</v>
      </c>
      <c r="AJ579">
        <v>45.767541000000001</v>
      </c>
      <c r="AK579" t="s">
        <v>681</v>
      </c>
      <c r="AL579">
        <v>-89.320520999999999</v>
      </c>
      <c r="AM579">
        <v>100</v>
      </c>
      <c r="AN579">
        <v>11200</v>
      </c>
      <c r="AO579" t="s">
        <v>118</v>
      </c>
      <c r="AP579">
        <v>123</v>
      </c>
      <c r="AQ579">
        <v>103</v>
      </c>
      <c r="AR579">
        <v>1984</v>
      </c>
      <c r="AZ579">
        <v>1200</v>
      </c>
      <c r="BA579">
        <v>1</v>
      </c>
      <c r="BB579" t="str">
        <f t="shared" si="30"/>
        <v xml:space="preserve">N690LS  </v>
      </c>
      <c r="BC579">
        <v>1</v>
      </c>
      <c r="BE579">
        <v>0</v>
      </c>
      <c r="BF579">
        <v>0</v>
      </c>
      <c r="BG579">
        <v>0</v>
      </c>
      <c r="BH579">
        <v>11575</v>
      </c>
      <c r="BI579">
        <v>1</v>
      </c>
      <c r="BJ579">
        <v>1</v>
      </c>
      <c r="BK579">
        <v>1</v>
      </c>
      <c r="BL579">
        <v>0</v>
      </c>
      <c r="BO579">
        <v>0</v>
      </c>
      <c r="BP579">
        <v>0</v>
      </c>
      <c r="BW579" t="str">
        <f>"13:55:18.807"</f>
        <v>13:55:18.807</v>
      </c>
      <c r="CJ579">
        <v>0</v>
      </c>
      <c r="CK579">
        <v>2</v>
      </c>
      <c r="CL579">
        <v>0</v>
      </c>
      <c r="CM579">
        <v>2</v>
      </c>
      <c r="CN579">
        <v>0</v>
      </c>
      <c r="CO579">
        <v>7</v>
      </c>
      <c r="CP579" t="s">
        <v>119</v>
      </c>
      <c r="CQ579">
        <v>197</v>
      </c>
      <c r="CR579">
        <v>1</v>
      </c>
      <c r="CW579">
        <v>7278114</v>
      </c>
      <c r="CY579">
        <v>1</v>
      </c>
      <c r="CZ579">
        <v>0</v>
      </c>
      <c r="DA579">
        <v>0</v>
      </c>
      <c r="DB579">
        <v>0</v>
      </c>
      <c r="DC579">
        <v>0</v>
      </c>
      <c r="DD579">
        <v>1</v>
      </c>
      <c r="DE579">
        <v>0</v>
      </c>
      <c r="DF579">
        <v>0</v>
      </c>
      <c r="DG579">
        <v>0</v>
      </c>
      <c r="DH579">
        <v>0</v>
      </c>
      <c r="DI579">
        <v>0</v>
      </c>
    </row>
    <row r="580" spans="1:113" x14ac:dyDescent="0.3">
      <c r="A580" t="str">
        <f>"09/28/2021 13:55:19.009"</f>
        <v>09/28/2021 13:55:19.009</v>
      </c>
      <c r="C580" t="str">
        <f t="shared" si="29"/>
        <v>FFDFD3C0</v>
      </c>
      <c r="D580" t="s">
        <v>113</v>
      </c>
      <c r="E580">
        <v>7</v>
      </c>
      <c r="H580">
        <v>170</v>
      </c>
      <c r="I580" t="s">
        <v>114</v>
      </c>
      <c r="J580" t="s">
        <v>115</v>
      </c>
      <c r="K580">
        <v>0</v>
      </c>
      <c r="L580">
        <v>3</v>
      </c>
      <c r="M580">
        <v>0</v>
      </c>
      <c r="N580">
        <v>2</v>
      </c>
      <c r="O580">
        <v>1</v>
      </c>
      <c r="P580">
        <v>0</v>
      </c>
      <c r="Q580">
        <v>0</v>
      </c>
      <c r="S580" t="str">
        <f>"13:55:18.805"</f>
        <v>13:55:18.805</v>
      </c>
      <c r="T580" t="str">
        <f>"13:55:18.305"</f>
        <v>13:55:18.305</v>
      </c>
      <c r="U580" t="str">
        <f t="shared" si="31"/>
        <v>A92BC1</v>
      </c>
      <c r="V580">
        <v>0</v>
      </c>
      <c r="W580">
        <v>0</v>
      </c>
      <c r="X580">
        <v>2</v>
      </c>
      <c r="Z580">
        <v>0</v>
      </c>
      <c r="AA580">
        <v>9</v>
      </c>
      <c r="AB580">
        <v>3</v>
      </c>
      <c r="AC580">
        <v>0</v>
      </c>
      <c r="AD580">
        <v>10</v>
      </c>
      <c r="AE580">
        <v>0</v>
      </c>
      <c r="AF580">
        <v>3</v>
      </c>
      <c r="AG580">
        <v>2</v>
      </c>
      <c r="AH580">
        <v>0</v>
      </c>
      <c r="AI580" t="s">
        <v>680</v>
      </c>
      <c r="AJ580">
        <v>45.767541000000001</v>
      </c>
      <c r="AK580" t="s">
        <v>681</v>
      </c>
      <c r="AL580">
        <v>-89.320520999999999</v>
      </c>
      <c r="AM580">
        <v>100</v>
      </c>
      <c r="AN580">
        <v>11200</v>
      </c>
      <c r="AO580" t="s">
        <v>118</v>
      </c>
      <c r="AP580">
        <v>123</v>
      </c>
      <c r="AQ580">
        <v>103</v>
      </c>
      <c r="AR580">
        <v>1984</v>
      </c>
      <c r="AZ580">
        <v>1200</v>
      </c>
      <c r="BA580">
        <v>1</v>
      </c>
      <c r="BB580" t="str">
        <f t="shared" si="30"/>
        <v xml:space="preserve">N690LS  </v>
      </c>
      <c r="BC580">
        <v>1</v>
      </c>
      <c r="BE580">
        <v>0</v>
      </c>
      <c r="BF580">
        <v>0</v>
      </c>
      <c r="BG580">
        <v>0</v>
      </c>
      <c r="BH580">
        <v>11575</v>
      </c>
      <c r="BI580">
        <v>1</v>
      </c>
      <c r="BJ580">
        <v>1</v>
      </c>
      <c r="BK580">
        <v>1</v>
      </c>
      <c r="BL580">
        <v>0</v>
      </c>
      <c r="BO580">
        <v>0</v>
      </c>
      <c r="BP580">
        <v>0</v>
      </c>
      <c r="BW580" t="str">
        <f>"13:55:18.807"</f>
        <v>13:55:18.807</v>
      </c>
      <c r="CJ580">
        <v>0</v>
      </c>
      <c r="CK580">
        <v>2</v>
      </c>
      <c r="CL580">
        <v>0</v>
      </c>
      <c r="CM580">
        <v>2</v>
      </c>
      <c r="CN580">
        <v>0</v>
      </c>
      <c r="CO580">
        <v>7</v>
      </c>
      <c r="CP580" t="s">
        <v>119</v>
      </c>
      <c r="CQ580">
        <v>197</v>
      </c>
      <c r="CR580">
        <v>1</v>
      </c>
      <c r="CW580">
        <v>7278114</v>
      </c>
      <c r="CY580">
        <v>1</v>
      </c>
      <c r="CZ580">
        <v>0</v>
      </c>
      <c r="DA580">
        <v>1</v>
      </c>
      <c r="DB580">
        <v>0</v>
      </c>
      <c r="DC580">
        <v>0</v>
      </c>
      <c r="DD580">
        <v>1</v>
      </c>
      <c r="DE580">
        <v>0</v>
      </c>
      <c r="DF580">
        <v>0</v>
      </c>
      <c r="DG580">
        <v>0</v>
      </c>
      <c r="DH580">
        <v>0</v>
      </c>
      <c r="DI580">
        <v>0</v>
      </c>
    </row>
    <row r="581" spans="1:113" x14ac:dyDescent="0.3">
      <c r="A581" t="str">
        <f>"09/28/2021 13:55:19.962"</f>
        <v>09/28/2021 13:55:19.962</v>
      </c>
      <c r="C581" t="str">
        <f t="shared" si="29"/>
        <v>FFDFD3C0</v>
      </c>
      <c r="D581" t="s">
        <v>120</v>
      </c>
      <c r="E581">
        <v>12</v>
      </c>
      <c r="F581">
        <v>1012</v>
      </c>
      <c r="G581" t="s">
        <v>114</v>
      </c>
      <c r="J581" t="s">
        <v>121</v>
      </c>
      <c r="K581">
        <v>0</v>
      </c>
      <c r="L581">
        <v>3</v>
      </c>
      <c r="M581">
        <v>0</v>
      </c>
      <c r="N581">
        <v>2</v>
      </c>
      <c r="O581">
        <v>1</v>
      </c>
      <c r="P581">
        <v>0</v>
      </c>
      <c r="Q581">
        <v>0</v>
      </c>
      <c r="S581" t="str">
        <f>"13:55:19.758"</f>
        <v>13:55:19.758</v>
      </c>
      <c r="T581" t="str">
        <f>"13:55:19.258"</f>
        <v>13:55:19.258</v>
      </c>
      <c r="U581" t="str">
        <f t="shared" si="31"/>
        <v>A92BC1</v>
      </c>
      <c r="V581">
        <v>0</v>
      </c>
      <c r="W581">
        <v>0</v>
      </c>
      <c r="X581">
        <v>2</v>
      </c>
      <c r="Z581">
        <v>0</v>
      </c>
      <c r="AA581">
        <v>9</v>
      </c>
      <c r="AB581">
        <v>3</v>
      </c>
      <c r="AC581">
        <v>0</v>
      </c>
      <c r="AD581">
        <v>10</v>
      </c>
      <c r="AE581">
        <v>0</v>
      </c>
      <c r="AF581">
        <v>3</v>
      </c>
      <c r="AG581">
        <v>2</v>
      </c>
      <c r="AH581">
        <v>0</v>
      </c>
      <c r="AI581" t="s">
        <v>682</v>
      </c>
      <c r="AJ581">
        <v>45.767992</v>
      </c>
      <c r="AK581" t="s">
        <v>683</v>
      </c>
      <c r="AL581">
        <v>-89.319642000000002</v>
      </c>
      <c r="AM581">
        <v>100</v>
      </c>
      <c r="AN581">
        <v>11300</v>
      </c>
      <c r="AO581" t="s">
        <v>118</v>
      </c>
      <c r="AP581">
        <v>123</v>
      </c>
      <c r="AQ581">
        <v>103</v>
      </c>
      <c r="AR581">
        <v>1984</v>
      </c>
      <c r="AZ581">
        <v>1200</v>
      </c>
      <c r="BA581">
        <v>1</v>
      </c>
      <c r="BB581" t="str">
        <f t="shared" si="30"/>
        <v xml:space="preserve">N690LS  </v>
      </c>
      <c r="BC581">
        <v>1</v>
      </c>
      <c r="BE581">
        <v>0</v>
      </c>
      <c r="BF581">
        <v>0</v>
      </c>
      <c r="BG581">
        <v>0</v>
      </c>
      <c r="BH581">
        <v>11625</v>
      </c>
      <c r="BI581">
        <v>1</v>
      </c>
      <c r="BJ581">
        <v>1</v>
      </c>
      <c r="BK581">
        <v>1</v>
      </c>
      <c r="BL581">
        <v>0</v>
      </c>
      <c r="BO581">
        <v>0</v>
      </c>
      <c r="BP581">
        <v>0</v>
      </c>
      <c r="BW581" t="str">
        <f>"13:55:19.765"</f>
        <v>13:55:19.765</v>
      </c>
      <c r="CJ581">
        <v>0</v>
      </c>
      <c r="CK581">
        <v>2</v>
      </c>
      <c r="CL581">
        <v>0</v>
      </c>
      <c r="CM581">
        <v>2</v>
      </c>
      <c r="CN581">
        <v>0</v>
      </c>
      <c r="CO581">
        <v>7</v>
      </c>
      <c r="CP581" t="s">
        <v>119</v>
      </c>
      <c r="CQ581">
        <v>197</v>
      </c>
      <c r="CR581">
        <v>2</v>
      </c>
      <c r="CW581">
        <v>2348163</v>
      </c>
      <c r="CY581">
        <v>1</v>
      </c>
      <c r="CZ581">
        <v>0</v>
      </c>
      <c r="DA581">
        <v>0</v>
      </c>
      <c r="DB581">
        <v>0</v>
      </c>
      <c r="DC581">
        <v>0</v>
      </c>
      <c r="DD581">
        <v>1</v>
      </c>
      <c r="DE581">
        <v>0</v>
      </c>
      <c r="DF581">
        <v>0</v>
      </c>
      <c r="DG581">
        <v>0</v>
      </c>
      <c r="DH581">
        <v>0</v>
      </c>
      <c r="DI581">
        <v>0</v>
      </c>
    </row>
    <row r="582" spans="1:113" x14ac:dyDescent="0.3">
      <c r="A582" t="str">
        <f>"09/28/2021 13:55:19.962"</f>
        <v>09/28/2021 13:55:19.962</v>
      </c>
      <c r="C582" t="str">
        <f t="shared" si="29"/>
        <v>FFDFD3C0</v>
      </c>
      <c r="D582" t="s">
        <v>113</v>
      </c>
      <c r="E582">
        <v>7</v>
      </c>
      <c r="H582">
        <v>170</v>
      </c>
      <c r="I582" t="s">
        <v>114</v>
      </c>
      <c r="J582" t="s">
        <v>115</v>
      </c>
      <c r="K582">
        <v>0</v>
      </c>
      <c r="L582">
        <v>3</v>
      </c>
      <c r="M582">
        <v>0</v>
      </c>
      <c r="N582">
        <v>2</v>
      </c>
      <c r="O582">
        <v>1</v>
      </c>
      <c r="P582">
        <v>0</v>
      </c>
      <c r="Q582">
        <v>0</v>
      </c>
      <c r="S582" t="str">
        <f>"13:55:19.758"</f>
        <v>13:55:19.758</v>
      </c>
      <c r="T582" t="str">
        <f>"13:55:19.258"</f>
        <v>13:55:19.258</v>
      </c>
      <c r="U582" t="str">
        <f t="shared" si="31"/>
        <v>A92BC1</v>
      </c>
      <c r="V582">
        <v>0</v>
      </c>
      <c r="W582">
        <v>0</v>
      </c>
      <c r="X582">
        <v>2</v>
      </c>
      <c r="Z582">
        <v>0</v>
      </c>
      <c r="AA582">
        <v>9</v>
      </c>
      <c r="AB582">
        <v>3</v>
      </c>
      <c r="AC582">
        <v>0</v>
      </c>
      <c r="AD582">
        <v>10</v>
      </c>
      <c r="AE582">
        <v>0</v>
      </c>
      <c r="AF582">
        <v>3</v>
      </c>
      <c r="AG582">
        <v>2</v>
      </c>
      <c r="AH582">
        <v>0</v>
      </c>
      <c r="AI582" t="s">
        <v>682</v>
      </c>
      <c r="AJ582">
        <v>45.767992</v>
      </c>
      <c r="AK582" t="s">
        <v>683</v>
      </c>
      <c r="AL582">
        <v>-89.319642000000002</v>
      </c>
      <c r="AM582">
        <v>100</v>
      </c>
      <c r="AN582">
        <v>11300</v>
      </c>
      <c r="AO582" t="s">
        <v>118</v>
      </c>
      <c r="AP582">
        <v>123</v>
      </c>
      <c r="AQ582">
        <v>103</v>
      </c>
      <c r="AR582">
        <v>1984</v>
      </c>
      <c r="AZ582">
        <v>1200</v>
      </c>
      <c r="BA582">
        <v>1</v>
      </c>
      <c r="BB582" t="str">
        <f t="shared" si="30"/>
        <v xml:space="preserve">N690LS  </v>
      </c>
      <c r="BC582">
        <v>1</v>
      </c>
      <c r="BE582">
        <v>0</v>
      </c>
      <c r="BF582">
        <v>0</v>
      </c>
      <c r="BG582">
        <v>0</v>
      </c>
      <c r="BH582">
        <v>11625</v>
      </c>
      <c r="BI582">
        <v>1</v>
      </c>
      <c r="BJ582">
        <v>1</v>
      </c>
      <c r="BK582">
        <v>1</v>
      </c>
      <c r="BL582">
        <v>0</v>
      </c>
      <c r="BO582">
        <v>0</v>
      </c>
      <c r="BP582">
        <v>0</v>
      </c>
      <c r="BW582" t="str">
        <f>"13:55:19.765"</f>
        <v>13:55:19.765</v>
      </c>
      <c r="CJ582">
        <v>0</v>
      </c>
      <c r="CK582">
        <v>2</v>
      </c>
      <c r="CL582">
        <v>0</v>
      </c>
      <c r="CM582">
        <v>2</v>
      </c>
      <c r="CN582">
        <v>0</v>
      </c>
      <c r="CO582">
        <v>7</v>
      </c>
      <c r="CP582" t="s">
        <v>119</v>
      </c>
      <c r="CQ582">
        <v>197</v>
      </c>
      <c r="CR582">
        <v>2</v>
      </c>
      <c r="CW582">
        <v>2348163</v>
      </c>
      <c r="CY582">
        <v>1</v>
      </c>
      <c r="CZ582">
        <v>0</v>
      </c>
      <c r="DA582">
        <v>1</v>
      </c>
      <c r="DB582">
        <v>0</v>
      </c>
      <c r="DC582">
        <v>0</v>
      </c>
      <c r="DD582">
        <v>1</v>
      </c>
      <c r="DE582">
        <v>0</v>
      </c>
      <c r="DF582">
        <v>0</v>
      </c>
      <c r="DG582">
        <v>0</v>
      </c>
      <c r="DH582">
        <v>0</v>
      </c>
      <c r="DI582">
        <v>0</v>
      </c>
    </row>
    <row r="583" spans="1:113" x14ac:dyDescent="0.3">
      <c r="A583" t="str">
        <f>"09/28/2021 13:55:21.009"</f>
        <v>09/28/2021 13:55:21.009</v>
      </c>
      <c r="C583" t="str">
        <f t="shared" si="29"/>
        <v>FFDFD3C0</v>
      </c>
      <c r="D583" t="s">
        <v>120</v>
      </c>
      <c r="E583">
        <v>12</v>
      </c>
      <c r="F583">
        <v>1012</v>
      </c>
      <c r="G583" t="s">
        <v>114</v>
      </c>
      <c r="J583" t="s">
        <v>121</v>
      </c>
      <c r="K583">
        <v>0</v>
      </c>
      <c r="L583">
        <v>3</v>
      </c>
      <c r="M583">
        <v>0</v>
      </c>
      <c r="N583">
        <v>2</v>
      </c>
      <c r="O583">
        <v>1</v>
      </c>
      <c r="P583">
        <v>0</v>
      </c>
      <c r="Q583">
        <v>0</v>
      </c>
      <c r="S583" t="str">
        <f>"13:55:20.766"</f>
        <v>13:55:20.766</v>
      </c>
      <c r="T583" t="str">
        <f>"13:55:20.266"</f>
        <v>13:55:20.266</v>
      </c>
      <c r="U583" t="str">
        <f t="shared" si="31"/>
        <v>A92BC1</v>
      </c>
      <c r="V583">
        <v>0</v>
      </c>
      <c r="W583">
        <v>0</v>
      </c>
      <c r="X583">
        <v>2</v>
      </c>
      <c r="Z583">
        <v>0</v>
      </c>
      <c r="AA583">
        <v>9</v>
      </c>
      <c r="AB583">
        <v>3</v>
      </c>
      <c r="AC583">
        <v>0</v>
      </c>
      <c r="AD583">
        <v>10</v>
      </c>
      <c r="AE583">
        <v>0</v>
      </c>
      <c r="AF583">
        <v>3</v>
      </c>
      <c r="AG583">
        <v>2</v>
      </c>
      <c r="AH583">
        <v>0</v>
      </c>
      <c r="AI583" t="s">
        <v>684</v>
      </c>
      <c r="AJ583">
        <v>45.768442</v>
      </c>
      <c r="AK583" t="s">
        <v>685</v>
      </c>
      <c r="AL583">
        <v>-89.318848000000003</v>
      </c>
      <c r="AM583">
        <v>100</v>
      </c>
      <c r="AN583">
        <v>11300</v>
      </c>
      <c r="AO583" t="s">
        <v>118</v>
      </c>
      <c r="AP583">
        <v>123</v>
      </c>
      <c r="AQ583">
        <v>102</v>
      </c>
      <c r="AR583">
        <v>1920</v>
      </c>
      <c r="AZ583">
        <v>1200</v>
      </c>
      <c r="BA583">
        <v>1</v>
      </c>
      <c r="BB583" t="str">
        <f t="shared" si="30"/>
        <v xml:space="preserve">N690LS  </v>
      </c>
      <c r="BC583">
        <v>1</v>
      </c>
      <c r="BE583">
        <v>0</v>
      </c>
      <c r="BF583">
        <v>0</v>
      </c>
      <c r="BG583">
        <v>0</v>
      </c>
      <c r="BH583">
        <v>11650</v>
      </c>
      <c r="BI583">
        <v>1</v>
      </c>
      <c r="BJ583">
        <v>1</v>
      </c>
      <c r="BK583">
        <v>1</v>
      </c>
      <c r="BL583">
        <v>0</v>
      </c>
      <c r="BO583">
        <v>0</v>
      </c>
      <c r="BP583">
        <v>0</v>
      </c>
      <c r="BW583" t="str">
        <f>"13:55:20.768"</f>
        <v>13:55:20.768</v>
      </c>
      <c r="CJ583">
        <v>0</v>
      </c>
      <c r="CK583">
        <v>2</v>
      </c>
      <c r="CL583">
        <v>0</v>
      </c>
      <c r="CM583">
        <v>2</v>
      </c>
      <c r="CN583">
        <v>0</v>
      </c>
      <c r="CO583">
        <v>7</v>
      </c>
      <c r="CP583" t="s">
        <v>119</v>
      </c>
      <c r="CQ583">
        <v>197</v>
      </c>
      <c r="CR583">
        <v>2</v>
      </c>
      <c r="CW583">
        <v>2349022</v>
      </c>
      <c r="CY583">
        <v>1</v>
      </c>
      <c r="CZ583">
        <v>0</v>
      </c>
      <c r="DA583">
        <v>0</v>
      </c>
      <c r="DB583">
        <v>0</v>
      </c>
      <c r="DC583">
        <v>0</v>
      </c>
      <c r="DD583">
        <v>1</v>
      </c>
      <c r="DE583">
        <v>0</v>
      </c>
      <c r="DF583">
        <v>0</v>
      </c>
      <c r="DG583">
        <v>0</v>
      </c>
      <c r="DH583">
        <v>0</v>
      </c>
      <c r="DI583">
        <v>0</v>
      </c>
    </row>
    <row r="584" spans="1:113" x14ac:dyDescent="0.3">
      <c r="A584" t="str">
        <f>"09/28/2021 13:55:21.009"</f>
        <v>09/28/2021 13:55:21.009</v>
      </c>
      <c r="C584" t="str">
        <f t="shared" si="29"/>
        <v>FFDFD3C0</v>
      </c>
      <c r="D584" t="s">
        <v>113</v>
      </c>
      <c r="E584">
        <v>7</v>
      </c>
      <c r="H584">
        <v>170</v>
      </c>
      <c r="I584" t="s">
        <v>114</v>
      </c>
      <c r="J584" t="s">
        <v>115</v>
      </c>
      <c r="K584">
        <v>0</v>
      </c>
      <c r="L584">
        <v>3</v>
      </c>
      <c r="M584">
        <v>0</v>
      </c>
      <c r="N584">
        <v>2</v>
      </c>
      <c r="O584">
        <v>1</v>
      </c>
      <c r="P584">
        <v>0</v>
      </c>
      <c r="Q584">
        <v>0</v>
      </c>
      <c r="S584" t="str">
        <f>"13:55:20.766"</f>
        <v>13:55:20.766</v>
      </c>
      <c r="T584" t="str">
        <f>"13:55:20.266"</f>
        <v>13:55:20.266</v>
      </c>
      <c r="U584" t="str">
        <f t="shared" si="31"/>
        <v>A92BC1</v>
      </c>
      <c r="V584">
        <v>0</v>
      </c>
      <c r="W584">
        <v>0</v>
      </c>
      <c r="X584">
        <v>2</v>
      </c>
      <c r="Z584">
        <v>0</v>
      </c>
      <c r="AA584">
        <v>9</v>
      </c>
      <c r="AB584">
        <v>3</v>
      </c>
      <c r="AC584">
        <v>0</v>
      </c>
      <c r="AD584">
        <v>10</v>
      </c>
      <c r="AE584">
        <v>0</v>
      </c>
      <c r="AF584">
        <v>3</v>
      </c>
      <c r="AG584">
        <v>2</v>
      </c>
      <c r="AH584">
        <v>0</v>
      </c>
      <c r="AI584" t="s">
        <v>684</v>
      </c>
      <c r="AJ584">
        <v>45.768442</v>
      </c>
      <c r="AK584" t="s">
        <v>685</v>
      </c>
      <c r="AL584">
        <v>-89.318848000000003</v>
      </c>
      <c r="AM584">
        <v>100</v>
      </c>
      <c r="AN584">
        <v>11300</v>
      </c>
      <c r="AO584" t="s">
        <v>118</v>
      </c>
      <c r="AP584">
        <v>123</v>
      </c>
      <c r="AQ584">
        <v>102</v>
      </c>
      <c r="AR584">
        <v>1920</v>
      </c>
      <c r="AZ584">
        <v>1200</v>
      </c>
      <c r="BA584">
        <v>1</v>
      </c>
      <c r="BB584" t="str">
        <f t="shared" si="30"/>
        <v xml:space="preserve">N690LS  </v>
      </c>
      <c r="BC584">
        <v>1</v>
      </c>
      <c r="BE584">
        <v>0</v>
      </c>
      <c r="BF584">
        <v>0</v>
      </c>
      <c r="BG584">
        <v>0</v>
      </c>
      <c r="BH584">
        <v>11650</v>
      </c>
      <c r="BI584">
        <v>1</v>
      </c>
      <c r="BJ584">
        <v>1</v>
      </c>
      <c r="BK584">
        <v>1</v>
      </c>
      <c r="BL584">
        <v>0</v>
      </c>
      <c r="BO584">
        <v>0</v>
      </c>
      <c r="BP584">
        <v>0</v>
      </c>
      <c r="BW584" t="str">
        <f>"13:55:20.768"</f>
        <v>13:55:20.768</v>
      </c>
      <c r="CJ584">
        <v>0</v>
      </c>
      <c r="CK584">
        <v>2</v>
      </c>
      <c r="CL584">
        <v>0</v>
      </c>
      <c r="CM584">
        <v>2</v>
      </c>
      <c r="CN584">
        <v>0</v>
      </c>
      <c r="CO584">
        <v>7</v>
      </c>
      <c r="CP584" t="s">
        <v>119</v>
      </c>
      <c r="CQ584">
        <v>197</v>
      </c>
      <c r="CR584">
        <v>2</v>
      </c>
      <c r="CW584">
        <v>2349022</v>
      </c>
      <c r="CY584">
        <v>1</v>
      </c>
      <c r="CZ584">
        <v>0</v>
      </c>
      <c r="DA584">
        <v>1</v>
      </c>
      <c r="DB584">
        <v>0</v>
      </c>
      <c r="DC584">
        <v>0</v>
      </c>
      <c r="DD584">
        <v>1</v>
      </c>
      <c r="DE584">
        <v>0</v>
      </c>
      <c r="DF584">
        <v>0</v>
      </c>
      <c r="DG584">
        <v>0</v>
      </c>
      <c r="DH584">
        <v>0</v>
      </c>
      <c r="DI584">
        <v>0</v>
      </c>
    </row>
    <row r="585" spans="1:113" x14ac:dyDescent="0.3">
      <c r="A585" t="str">
        <f>"09/28/2021 13:55:21.963"</f>
        <v>09/28/2021 13:55:21.963</v>
      </c>
      <c r="C585" t="str">
        <f t="shared" si="29"/>
        <v>FFDFD3C0</v>
      </c>
      <c r="D585" t="s">
        <v>120</v>
      </c>
      <c r="E585">
        <v>12</v>
      </c>
      <c r="F585">
        <v>1012</v>
      </c>
      <c r="G585" t="s">
        <v>114</v>
      </c>
      <c r="J585" t="s">
        <v>121</v>
      </c>
      <c r="K585">
        <v>0</v>
      </c>
      <c r="L585">
        <v>3</v>
      </c>
      <c r="M585">
        <v>0</v>
      </c>
      <c r="N585">
        <v>2</v>
      </c>
      <c r="O585">
        <v>1</v>
      </c>
      <c r="P585">
        <v>0</v>
      </c>
      <c r="Q585">
        <v>0</v>
      </c>
      <c r="S585" t="str">
        <f>"13:55:21.727"</f>
        <v>13:55:21.727</v>
      </c>
      <c r="T585" t="str">
        <f>"13:55:21.327"</f>
        <v>13:55:21.327</v>
      </c>
      <c r="U585" t="str">
        <f t="shared" si="31"/>
        <v>A92BC1</v>
      </c>
      <c r="V585">
        <v>0</v>
      </c>
      <c r="W585">
        <v>0</v>
      </c>
      <c r="X585">
        <v>2</v>
      </c>
      <c r="Z585">
        <v>0</v>
      </c>
      <c r="AA585">
        <v>9</v>
      </c>
      <c r="AB585">
        <v>3</v>
      </c>
      <c r="AC585">
        <v>0</v>
      </c>
      <c r="AD585">
        <v>10</v>
      </c>
      <c r="AE585">
        <v>0</v>
      </c>
      <c r="AF585">
        <v>3</v>
      </c>
      <c r="AG585">
        <v>2</v>
      </c>
      <c r="AH585">
        <v>0</v>
      </c>
      <c r="AI585" t="s">
        <v>686</v>
      </c>
      <c r="AJ585">
        <v>45.768957</v>
      </c>
      <c r="AK585" t="s">
        <v>687</v>
      </c>
      <c r="AL585">
        <v>-89.318054000000004</v>
      </c>
      <c r="AM585">
        <v>100</v>
      </c>
      <c r="AN585">
        <v>11300</v>
      </c>
      <c r="AO585" t="s">
        <v>118</v>
      </c>
      <c r="AP585">
        <v>124</v>
      </c>
      <c r="AQ585">
        <v>102</v>
      </c>
      <c r="AR585">
        <v>1920</v>
      </c>
      <c r="AZ585">
        <v>1200</v>
      </c>
      <c r="BA585">
        <v>1</v>
      </c>
      <c r="BB585" t="str">
        <f t="shared" si="30"/>
        <v xml:space="preserve">N690LS  </v>
      </c>
      <c r="BC585">
        <v>1</v>
      </c>
      <c r="BE585">
        <v>0</v>
      </c>
      <c r="BF585">
        <v>0</v>
      </c>
      <c r="BG585">
        <v>0</v>
      </c>
      <c r="BH585">
        <v>11675</v>
      </c>
      <c r="BI585">
        <v>1</v>
      </c>
      <c r="BJ585">
        <v>1</v>
      </c>
      <c r="BK585">
        <v>1</v>
      </c>
      <c r="BL585">
        <v>0</v>
      </c>
      <c r="BO585">
        <v>0</v>
      </c>
      <c r="BP585">
        <v>0</v>
      </c>
      <c r="BW585" t="str">
        <f>"13:55:21.731"</f>
        <v>13:55:21.731</v>
      </c>
      <c r="CJ585">
        <v>0</v>
      </c>
      <c r="CK585">
        <v>2</v>
      </c>
      <c r="CL585">
        <v>0</v>
      </c>
      <c r="CM585">
        <v>2</v>
      </c>
      <c r="CN585">
        <v>0</v>
      </c>
      <c r="CO585">
        <v>7</v>
      </c>
      <c r="CP585" t="s">
        <v>119</v>
      </c>
      <c r="CQ585">
        <v>197</v>
      </c>
      <c r="CR585">
        <v>1</v>
      </c>
      <c r="CW585">
        <v>7281499</v>
      </c>
      <c r="CY585">
        <v>1</v>
      </c>
      <c r="CZ585">
        <v>0</v>
      </c>
      <c r="DA585">
        <v>0</v>
      </c>
      <c r="DB585">
        <v>0</v>
      </c>
      <c r="DC585">
        <v>0</v>
      </c>
      <c r="DD585">
        <v>1</v>
      </c>
      <c r="DE585">
        <v>0</v>
      </c>
      <c r="DF585">
        <v>0</v>
      </c>
      <c r="DG585">
        <v>0</v>
      </c>
      <c r="DH585">
        <v>0</v>
      </c>
      <c r="DI585">
        <v>0</v>
      </c>
    </row>
    <row r="586" spans="1:113" x14ac:dyDescent="0.3">
      <c r="A586" t="str">
        <f>"09/28/2021 13:55:21.963"</f>
        <v>09/28/2021 13:55:21.963</v>
      </c>
      <c r="C586" t="str">
        <f t="shared" si="29"/>
        <v>FFDFD3C0</v>
      </c>
      <c r="D586" t="s">
        <v>113</v>
      </c>
      <c r="E586">
        <v>7</v>
      </c>
      <c r="H586">
        <v>170</v>
      </c>
      <c r="I586" t="s">
        <v>114</v>
      </c>
      <c r="J586" t="s">
        <v>115</v>
      </c>
      <c r="K586">
        <v>0</v>
      </c>
      <c r="L586">
        <v>3</v>
      </c>
      <c r="M586">
        <v>0</v>
      </c>
      <c r="N586">
        <v>2</v>
      </c>
      <c r="O586">
        <v>1</v>
      </c>
      <c r="P586">
        <v>0</v>
      </c>
      <c r="Q586">
        <v>0</v>
      </c>
      <c r="S586" t="str">
        <f>"13:55:21.727"</f>
        <v>13:55:21.727</v>
      </c>
      <c r="T586" t="str">
        <f>"13:55:21.327"</f>
        <v>13:55:21.327</v>
      </c>
      <c r="U586" t="str">
        <f t="shared" si="31"/>
        <v>A92BC1</v>
      </c>
      <c r="V586">
        <v>0</v>
      </c>
      <c r="W586">
        <v>0</v>
      </c>
      <c r="X586">
        <v>2</v>
      </c>
      <c r="Z586">
        <v>0</v>
      </c>
      <c r="AA586">
        <v>9</v>
      </c>
      <c r="AB586">
        <v>3</v>
      </c>
      <c r="AC586">
        <v>0</v>
      </c>
      <c r="AD586">
        <v>10</v>
      </c>
      <c r="AE586">
        <v>0</v>
      </c>
      <c r="AF586">
        <v>3</v>
      </c>
      <c r="AG586">
        <v>2</v>
      </c>
      <c r="AH586">
        <v>0</v>
      </c>
      <c r="AI586" t="s">
        <v>686</v>
      </c>
      <c r="AJ586">
        <v>45.768957</v>
      </c>
      <c r="AK586" t="s">
        <v>687</v>
      </c>
      <c r="AL586">
        <v>-89.318054000000004</v>
      </c>
      <c r="AM586">
        <v>100</v>
      </c>
      <c r="AN586">
        <v>11300</v>
      </c>
      <c r="AO586" t="s">
        <v>118</v>
      </c>
      <c r="AP586">
        <v>124</v>
      </c>
      <c r="AQ586">
        <v>102</v>
      </c>
      <c r="AR586">
        <v>1920</v>
      </c>
      <c r="AZ586">
        <v>1200</v>
      </c>
      <c r="BA586">
        <v>1</v>
      </c>
      <c r="BB586" t="str">
        <f t="shared" si="30"/>
        <v xml:space="preserve">N690LS  </v>
      </c>
      <c r="BC586">
        <v>1</v>
      </c>
      <c r="BE586">
        <v>0</v>
      </c>
      <c r="BF586">
        <v>0</v>
      </c>
      <c r="BG586">
        <v>0</v>
      </c>
      <c r="BH586">
        <v>11675</v>
      </c>
      <c r="BI586">
        <v>1</v>
      </c>
      <c r="BJ586">
        <v>1</v>
      </c>
      <c r="BK586">
        <v>1</v>
      </c>
      <c r="BL586">
        <v>0</v>
      </c>
      <c r="BO586">
        <v>0</v>
      </c>
      <c r="BP586">
        <v>0</v>
      </c>
      <c r="BW586" t="str">
        <f>"13:55:21.731"</f>
        <v>13:55:21.731</v>
      </c>
      <c r="CJ586">
        <v>0</v>
      </c>
      <c r="CK586">
        <v>2</v>
      </c>
      <c r="CL586">
        <v>0</v>
      </c>
      <c r="CM586">
        <v>2</v>
      </c>
      <c r="CN586">
        <v>0</v>
      </c>
      <c r="CO586">
        <v>7</v>
      </c>
      <c r="CP586" t="s">
        <v>119</v>
      </c>
      <c r="CQ586">
        <v>197</v>
      </c>
      <c r="CR586">
        <v>1</v>
      </c>
      <c r="CW586">
        <v>7281499</v>
      </c>
      <c r="CY586">
        <v>1</v>
      </c>
      <c r="CZ586">
        <v>0</v>
      </c>
      <c r="DA586">
        <v>1</v>
      </c>
      <c r="DB586">
        <v>0</v>
      </c>
      <c r="DC586">
        <v>0</v>
      </c>
      <c r="DD586">
        <v>1</v>
      </c>
      <c r="DE586">
        <v>0</v>
      </c>
      <c r="DF586">
        <v>0</v>
      </c>
      <c r="DG586">
        <v>0</v>
      </c>
      <c r="DH586">
        <v>0</v>
      </c>
      <c r="DI586">
        <v>0</v>
      </c>
    </row>
    <row r="587" spans="1:113" x14ac:dyDescent="0.3">
      <c r="A587" t="str">
        <f>"09/28/2021 13:55:22.901"</f>
        <v>09/28/2021 13:55:22.901</v>
      </c>
      <c r="C587" t="str">
        <f t="shared" si="29"/>
        <v>FFDFD3C0</v>
      </c>
      <c r="D587" t="s">
        <v>113</v>
      </c>
      <c r="E587">
        <v>7</v>
      </c>
      <c r="H587">
        <v>170</v>
      </c>
      <c r="I587" t="s">
        <v>114</v>
      </c>
      <c r="J587" t="s">
        <v>115</v>
      </c>
      <c r="K587">
        <v>0</v>
      </c>
      <c r="L587">
        <v>3</v>
      </c>
      <c r="M587">
        <v>0</v>
      </c>
      <c r="N587">
        <v>2</v>
      </c>
      <c r="O587">
        <v>1</v>
      </c>
      <c r="P587">
        <v>0</v>
      </c>
      <c r="Q587">
        <v>0</v>
      </c>
      <c r="S587" t="str">
        <f>"13:55:22.703"</f>
        <v>13:55:22.703</v>
      </c>
      <c r="T587" t="str">
        <f>"13:55:22.303"</f>
        <v>13:55:22.303</v>
      </c>
      <c r="U587" t="str">
        <f t="shared" si="31"/>
        <v>A92BC1</v>
      </c>
      <c r="V587">
        <v>0</v>
      </c>
      <c r="W587">
        <v>0</v>
      </c>
      <c r="X587">
        <v>2</v>
      </c>
      <c r="Z587">
        <v>0</v>
      </c>
      <c r="AA587">
        <v>9</v>
      </c>
      <c r="AB587">
        <v>3</v>
      </c>
      <c r="AC587">
        <v>0</v>
      </c>
      <c r="AD587">
        <v>10</v>
      </c>
      <c r="AE587">
        <v>0</v>
      </c>
      <c r="AF587">
        <v>3</v>
      </c>
      <c r="AG587">
        <v>2</v>
      </c>
      <c r="AH587">
        <v>0</v>
      </c>
      <c r="AI587" t="s">
        <v>688</v>
      </c>
      <c r="AJ587">
        <v>45.769365000000001</v>
      </c>
      <c r="AK587" t="s">
        <v>689</v>
      </c>
      <c r="AL587">
        <v>-89.317346000000001</v>
      </c>
      <c r="AM587">
        <v>100</v>
      </c>
      <c r="AN587">
        <v>11400</v>
      </c>
      <c r="AO587" t="s">
        <v>118</v>
      </c>
      <c r="AP587">
        <v>124</v>
      </c>
      <c r="AQ587">
        <v>102</v>
      </c>
      <c r="AR587">
        <v>1920</v>
      </c>
      <c r="AZ587">
        <v>1200</v>
      </c>
      <c r="BA587">
        <v>1</v>
      </c>
      <c r="BB587" t="str">
        <f t="shared" si="30"/>
        <v xml:space="preserve">N690LS  </v>
      </c>
      <c r="BC587">
        <v>1</v>
      </c>
      <c r="BE587">
        <v>0</v>
      </c>
      <c r="BF587">
        <v>0</v>
      </c>
      <c r="BG587">
        <v>0</v>
      </c>
      <c r="BH587">
        <v>11725</v>
      </c>
      <c r="BI587">
        <v>1</v>
      </c>
      <c r="BJ587">
        <v>1</v>
      </c>
      <c r="BK587">
        <v>1</v>
      </c>
      <c r="BL587">
        <v>0</v>
      </c>
      <c r="BO587">
        <v>0</v>
      </c>
      <c r="BP587">
        <v>0</v>
      </c>
      <c r="BW587" t="str">
        <f>"13:55:22.710"</f>
        <v>13:55:22.710</v>
      </c>
      <c r="CJ587">
        <v>0</v>
      </c>
      <c r="CK587">
        <v>2</v>
      </c>
      <c r="CL587">
        <v>0</v>
      </c>
      <c r="CM587">
        <v>2</v>
      </c>
      <c r="CN587">
        <v>0</v>
      </c>
      <c r="CO587">
        <v>7</v>
      </c>
      <c r="CP587" t="s">
        <v>119</v>
      </c>
      <c r="CQ587">
        <v>197</v>
      </c>
      <c r="CR587">
        <v>1</v>
      </c>
      <c r="CW587">
        <v>7282634</v>
      </c>
      <c r="CY587">
        <v>1</v>
      </c>
      <c r="CZ587">
        <v>0</v>
      </c>
      <c r="DA587">
        <v>0</v>
      </c>
      <c r="DB587">
        <v>0</v>
      </c>
      <c r="DC587">
        <v>0</v>
      </c>
      <c r="DD587">
        <v>1</v>
      </c>
      <c r="DE587">
        <v>0</v>
      </c>
      <c r="DF587">
        <v>0</v>
      </c>
      <c r="DG587">
        <v>0</v>
      </c>
      <c r="DH587">
        <v>0</v>
      </c>
      <c r="DI587">
        <v>0</v>
      </c>
    </row>
    <row r="588" spans="1:113" x14ac:dyDescent="0.3">
      <c r="A588" t="str">
        <f>"09/28/2021 13:55:22.932"</f>
        <v>09/28/2021 13:55:22.932</v>
      </c>
      <c r="C588" t="str">
        <f t="shared" si="29"/>
        <v>FFDFD3C0</v>
      </c>
      <c r="D588" t="s">
        <v>120</v>
      </c>
      <c r="E588">
        <v>12</v>
      </c>
      <c r="F588">
        <v>1012</v>
      </c>
      <c r="G588" t="s">
        <v>114</v>
      </c>
      <c r="J588" t="s">
        <v>121</v>
      </c>
      <c r="K588">
        <v>0</v>
      </c>
      <c r="L588">
        <v>3</v>
      </c>
      <c r="M588">
        <v>0</v>
      </c>
      <c r="N588">
        <v>2</v>
      </c>
      <c r="O588">
        <v>1</v>
      </c>
      <c r="P588">
        <v>0</v>
      </c>
      <c r="Q588">
        <v>0</v>
      </c>
      <c r="S588" t="str">
        <f>"13:55:22.703"</f>
        <v>13:55:22.703</v>
      </c>
      <c r="T588" t="str">
        <f>"13:55:22.303"</f>
        <v>13:55:22.303</v>
      </c>
      <c r="U588" t="str">
        <f t="shared" si="31"/>
        <v>A92BC1</v>
      </c>
      <c r="V588">
        <v>0</v>
      </c>
      <c r="W588">
        <v>0</v>
      </c>
      <c r="X588">
        <v>2</v>
      </c>
      <c r="Z588">
        <v>0</v>
      </c>
      <c r="AA588">
        <v>9</v>
      </c>
      <c r="AB588">
        <v>3</v>
      </c>
      <c r="AC588">
        <v>0</v>
      </c>
      <c r="AD588">
        <v>10</v>
      </c>
      <c r="AE588">
        <v>0</v>
      </c>
      <c r="AF588">
        <v>3</v>
      </c>
      <c r="AG588">
        <v>2</v>
      </c>
      <c r="AH588">
        <v>0</v>
      </c>
      <c r="AI588" t="s">
        <v>688</v>
      </c>
      <c r="AJ588">
        <v>45.769365000000001</v>
      </c>
      <c r="AK588" t="s">
        <v>689</v>
      </c>
      <c r="AL588">
        <v>-89.317346000000001</v>
      </c>
      <c r="AM588">
        <v>100</v>
      </c>
      <c r="AN588">
        <v>11400</v>
      </c>
      <c r="AO588" t="s">
        <v>118</v>
      </c>
      <c r="AP588">
        <v>124</v>
      </c>
      <c r="AQ588">
        <v>102</v>
      </c>
      <c r="AR588">
        <v>1920</v>
      </c>
      <c r="AZ588">
        <v>1200</v>
      </c>
      <c r="BA588">
        <v>1</v>
      </c>
      <c r="BB588" t="str">
        <f t="shared" si="30"/>
        <v xml:space="preserve">N690LS  </v>
      </c>
      <c r="BC588">
        <v>1</v>
      </c>
      <c r="BE588">
        <v>0</v>
      </c>
      <c r="BF588">
        <v>0</v>
      </c>
      <c r="BG588">
        <v>0</v>
      </c>
      <c r="BH588">
        <v>11725</v>
      </c>
      <c r="BI588">
        <v>1</v>
      </c>
      <c r="BJ588">
        <v>1</v>
      </c>
      <c r="BK588">
        <v>1</v>
      </c>
      <c r="BL588">
        <v>0</v>
      </c>
      <c r="BO588">
        <v>0</v>
      </c>
      <c r="BP588">
        <v>0</v>
      </c>
      <c r="BW588" t="str">
        <f>"13:55:22.710"</f>
        <v>13:55:22.710</v>
      </c>
      <c r="CJ588">
        <v>0</v>
      </c>
      <c r="CK588">
        <v>2</v>
      </c>
      <c r="CL588">
        <v>0</v>
      </c>
      <c r="CM588">
        <v>2</v>
      </c>
      <c r="CN588">
        <v>0</v>
      </c>
      <c r="CO588">
        <v>7</v>
      </c>
      <c r="CP588" t="s">
        <v>119</v>
      </c>
      <c r="CQ588">
        <v>197</v>
      </c>
      <c r="CR588">
        <v>1</v>
      </c>
      <c r="CW588">
        <v>7282634</v>
      </c>
      <c r="CY588">
        <v>1</v>
      </c>
      <c r="CZ588">
        <v>0</v>
      </c>
      <c r="DA588">
        <v>1</v>
      </c>
      <c r="DB588">
        <v>0</v>
      </c>
      <c r="DC588">
        <v>0</v>
      </c>
      <c r="DD588">
        <v>1</v>
      </c>
      <c r="DE588">
        <v>0</v>
      </c>
      <c r="DF588">
        <v>0</v>
      </c>
      <c r="DG588">
        <v>0</v>
      </c>
      <c r="DH588">
        <v>0</v>
      </c>
      <c r="DI588">
        <v>0</v>
      </c>
    </row>
    <row r="589" spans="1:113" x14ac:dyDescent="0.3">
      <c r="A589" t="str">
        <f>"09/28/2021 13:55:23.902"</f>
        <v>09/28/2021 13:55:23.902</v>
      </c>
      <c r="C589" t="str">
        <f t="shared" si="29"/>
        <v>FFDFD3C0</v>
      </c>
      <c r="D589" t="s">
        <v>120</v>
      </c>
      <c r="E589">
        <v>12</v>
      </c>
      <c r="F589">
        <v>1012</v>
      </c>
      <c r="G589" t="s">
        <v>114</v>
      </c>
      <c r="J589" t="s">
        <v>121</v>
      </c>
      <c r="K589">
        <v>0</v>
      </c>
      <c r="L589">
        <v>3</v>
      </c>
      <c r="M589">
        <v>0</v>
      </c>
      <c r="N589">
        <v>2</v>
      </c>
      <c r="O589">
        <v>1</v>
      </c>
      <c r="P589">
        <v>0</v>
      </c>
      <c r="Q589">
        <v>0</v>
      </c>
      <c r="S589" t="str">
        <f>"13:55:23.703"</f>
        <v>13:55:23.703</v>
      </c>
      <c r="T589" t="str">
        <f>"13:55:23.203"</f>
        <v>13:55:23.203</v>
      </c>
      <c r="U589" t="str">
        <f t="shared" si="31"/>
        <v>A92BC1</v>
      </c>
      <c r="V589">
        <v>0</v>
      </c>
      <c r="W589">
        <v>0</v>
      </c>
      <c r="X589">
        <v>2</v>
      </c>
      <c r="Z589">
        <v>0</v>
      </c>
      <c r="AA589">
        <v>9</v>
      </c>
      <c r="AB589">
        <v>3</v>
      </c>
      <c r="AC589">
        <v>0</v>
      </c>
      <c r="AD589">
        <v>10</v>
      </c>
      <c r="AE589">
        <v>0</v>
      </c>
      <c r="AF589">
        <v>3</v>
      </c>
      <c r="AG589">
        <v>2</v>
      </c>
      <c r="AH589">
        <v>0</v>
      </c>
      <c r="AI589" t="s">
        <v>690</v>
      </c>
      <c r="AJ589">
        <v>45.769837000000003</v>
      </c>
      <c r="AK589" t="s">
        <v>691</v>
      </c>
      <c r="AL589">
        <v>-89.316508999999996</v>
      </c>
      <c r="AM589">
        <v>100</v>
      </c>
      <c r="AN589">
        <v>11400</v>
      </c>
      <c r="AO589" t="s">
        <v>118</v>
      </c>
      <c r="AP589">
        <v>124</v>
      </c>
      <c r="AQ589">
        <v>102</v>
      </c>
      <c r="AR589">
        <v>1920</v>
      </c>
      <c r="AZ589">
        <v>1200</v>
      </c>
      <c r="BA589">
        <v>1</v>
      </c>
      <c r="BB589" t="str">
        <f t="shared" si="30"/>
        <v xml:space="preserve">N690LS  </v>
      </c>
      <c r="BC589">
        <v>1</v>
      </c>
      <c r="BE589">
        <v>0</v>
      </c>
      <c r="BF589">
        <v>0</v>
      </c>
      <c r="BG589">
        <v>0</v>
      </c>
      <c r="BH589">
        <v>11750</v>
      </c>
      <c r="BI589">
        <v>1</v>
      </c>
      <c r="BJ589">
        <v>1</v>
      </c>
      <c r="BK589">
        <v>1</v>
      </c>
      <c r="BL589">
        <v>0</v>
      </c>
      <c r="BO589">
        <v>0</v>
      </c>
      <c r="BP589">
        <v>0</v>
      </c>
      <c r="BW589" t="str">
        <f>"13:55:23.711"</f>
        <v>13:55:23.711</v>
      </c>
      <c r="CJ589">
        <v>0</v>
      </c>
      <c r="CK589">
        <v>2</v>
      </c>
      <c r="CL589">
        <v>0</v>
      </c>
      <c r="CM589">
        <v>2</v>
      </c>
      <c r="CN589">
        <v>0</v>
      </c>
      <c r="CO589">
        <v>7</v>
      </c>
      <c r="CP589" t="s">
        <v>119</v>
      </c>
      <c r="CQ589">
        <v>197</v>
      </c>
      <c r="CR589">
        <v>2</v>
      </c>
      <c r="CW589">
        <v>2351546</v>
      </c>
      <c r="CY589">
        <v>1</v>
      </c>
      <c r="CZ589">
        <v>0</v>
      </c>
      <c r="DA589">
        <v>0</v>
      </c>
      <c r="DB589">
        <v>0</v>
      </c>
      <c r="DC589">
        <v>0</v>
      </c>
      <c r="DD589">
        <v>1</v>
      </c>
      <c r="DE589">
        <v>0</v>
      </c>
      <c r="DF589">
        <v>0</v>
      </c>
      <c r="DG589">
        <v>0</v>
      </c>
      <c r="DH589">
        <v>0</v>
      </c>
      <c r="DI589">
        <v>0</v>
      </c>
    </row>
    <row r="590" spans="1:113" x14ac:dyDescent="0.3">
      <c r="A590" t="str">
        <f>"09/28/2021 13:55:23.902"</f>
        <v>09/28/2021 13:55:23.902</v>
      </c>
      <c r="C590" t="str">
        <f t="shared" si="29"/>
        <v>FFDFD3C0</v>
      </c>
      <c r="D590" t="s">
        <v>113</v>
      </c>
      <c r="E590">
        <v>7</v>
      </c>
      <c r="H590">
        <v>170</v>
      </c>
      <c r="I590" t="s">
        <v>114</v>
      </c>
      <c r="J590" t="s">
        <v>115</v>
      </c>
      <c r="K590">
        <v>0</v>
      </c>
      <c r="L590">
        <v>3</v>
      </c>
      <c r="M590">
        <v>0</v>
      </c>
      <c r="N590">
        <v>2</v>
      </c>
      <c r="O590">
        <v>1</v>
      </c>
      <c r="P590">
        <v>0</v>
      </c>
      <c r="Q590">
        <v>0</v>
      </c>
      <c r="S590" t="str">
        <f>"13:55:23.703"</f>
        <v>13:55:23.703</v>
      </c>
      <c r="T590" t="str">
        <f>"13:55:23.203"</f>
        <v>13:55:23.203</v>
      </c>
      <c r="U590" t="str">
        <f t="shared" si="31"/>
        <v>A92BC1</v>
      </c>
      <c r="V590">
        <v>0</v>
      </c>
      <c r="W590">
        <v>0</v>
      </c>
      <c r="X590">
        <v>2</v>
      </c>
      <c r="Z590">
        <v>0</v>
      </c>
      <c r="AA590">
        <v>9</v>
      </c>
      <c r="AB590">
        <v>3</v>
      </c>
      <c r="AC590">
        <v>0</v>
      </c>
      <c r="AD590">
        <v>10</v>
      </c>
      <c r="AE590">
        <v>0</v>
      </c>
      <c r="AF590">
        <v>3</v>
      </c>
      <c r="AG590">
        <v>2</v>
      </c>
      <c r="AH590">
        <v>0</v>
      </c>
      <c r="AI590" t="s">
        <v>690</v>
      </c>
      <c r="AJ590">
        <v>45.769837000000003</v>
      </c>
      <c r="AK590" t="s">
        <v>691</v>
      </c>
      <c r="AL590">
        <v>-89.316508999999996</v>
      </c>
      <c r="AM590">
        <v>100</v>
      </c>
      <c r="AN590">
        <v>11400</v>
      </c>
      <c r="AO590" t="s">
        <v>118</v>
      </c>
      <c r="AP590">
        <v>124</v>
      </c>
      <c r="AQ590">
        <v>102</v>
      </c>
      <c r="AR590">
        <v>1920</v>
      </c>
      <c r="AZ590">
        <v>1200</v>
      </c>
      <c r="BA590">
        <v>1</v>
      </c>
      <c r="BB590" t="str">
        <f t="shared" si="30"/>
        <v xml:space="preserve">N690LS  </v>
      </c>
      <c r="BC590">
        <v>1</v>
      </c>
      <c r="BE590">
        <v>0</v>
      </c>
      <c r="BF590">
        <v>0</v>
      </c>
      <c r="BG590">
        <v>0</v>
      </c>
      <c r="BH590">
        <v>11750</v>
      </c>
      <c r="BI590">
        <v>1</v>
      </c>
      <c r="BJ590">
        <v>1</v>
      </c>
      <c r="BK590">
        <v>1</v>
      </c>
      <c r="BL590">
        <v>0</v>
      </c>
      <c r="BO590">
        <v>0</v>
      </c>
      <c r="BP590">
        <v>0</v>
      </c>
      <c r="BW590" t="str">
        <f>"13:55:23.711"</f>
        <v>13:55:23.711</v>
      </c>
      <c r="CJ590">
        <v>0</v>
      </c>
      <c r="CK590">
        <v>2</v>
      </c>
      <c r="CL590">
        <v>0</v>
      </c>
      <c r="CM590">
        <v>2</v>
      </c>
      <c r="CN590">
        <v>0</v>
      </c>
      <c r="CO590">
        <v>7</v>
      </c>
      <c r="CP590" t="s">
        <v>119</v>
      </c>
      <c r="CQ590">
        <v>197</v>
      </c>
      <c r="CR590">
        <v>2</v>
      </c>
      <c r="CW590">
        <v>2351546</v>
      </c>
      <c r="CY590">
        <v>1</v>
      </c>
      <c r="CZ590">
        <v>0</v>
      </c>
      <c r="DA590">
        <v>1</v>
      </c>
      <c r="DB590">
        <v>0</v>
      </c>
      <c r="DC590">
        <v>0</v>
      </c>
      <c r="DD590">
        <v>1</v>
      </c>
      <c r="DE590">
        <v>0</v>
      </c>
      <c r="DF590">
        <v>0</v>
      </c>
      <c r="DG590">
        <v>0</v>
      </c>
      <c r="DH590">
        <v>0</v>
      </c>
      <c r="DI590">
        <v>0</v>
      </c>
    </row>
    <row r="591" spans="1:113" x14ac:dyDescent="0.3">
      <c r="A591" t="str">
        <f>"09/28/2021 13:55:25.074"</f>
        <v>09/28/2021 13:55:25.074</v>
      </c>
      <c r="C591" t="str">
        <f t="shared" si="29"/>
        <v>FFDFD3C0</v>
      </c>
      <c r="D591" t="s">
        <v>120</v>
      </c>
      <c r="E591">
        <v>12</v>
      </c>
      <c r="F591">
        <v>1012</v>
      </c>
      <c r="G591" t="s">
        <v>114</v>
      </c>
      <c r="J591" t="s">
        <v>121</v>
      </c>
      <c r="K591">
        <v>0</v>
      </c>
      <c r="L591">
        <v>3</v>
      </c>
      <c r="M591">
        <v>0</v>
      </c>
      <c r="N591">
        <v>2</v>
      </c>
      <c r="O591">
        <v>1</v>
      </c>
      <c r="P591">
        <v>0</v>
      </c>
      <c r="Q591">
        <v>0</v>
      </c>
      <c r="S591" t="str">
        <f>"13:55:24.867"</f>
        <v>13:55:24.867</v>
      </c>
      <c r="T591" t="str">
        <f>"13:55:24.367"</f>
        <v>13:55:24.367</v>
      </c>
      <c r="U591" t="str">
        <f t="shared" si="31"/>
        <v>A92BC1</v>
      </c>
      <c r="V591">
        <v>0</v>
      </c>
      <c r="W591">
        <v>0</v>
      </c>
      <c r="X591">
        <v>2</v>
      </c>
      <c r="Z591">
        <v>0</v>
      </c>
      <c r="AA591">
        <v>9</v>
      </c>
      <c r="AB591">
        <v>3</v>
      </c>
      <c r="AC591">
        <v>0</v>
      </c>
      <c r="AD591">
        <v>10</v>
      </c>
      <c r="AE591">
        <v>0</v>
      </c>
      <c r="AF591">
        <v>3</v>
      </c>
      <c r="AG591">
        <v>2</v>
      </c>
      <c r="AH591">
        <v>0</v>
      </c>
      <c r="AI591" t="s">
        <v>692</v>
      </c>
      <c r="AJ591">
        <v>45.770395000000001</v>
      </c>
      <c r="AK591" t="s">
        <v>693</v>
      </c>
      <c r="AL591">
        <v>-89.315478999999996</v>
      </c>
      <c r="AM591">
        <v>100</v>
      </c>
      <c r="AN591">
        <v>11400</v>
      </c>
      <c r="AO591" t="s">
        <v>118</v>
      </c>
      <c r="AP591">
        <v>124</v>
      </c>
      <c r="AQ591">
        <v>101</v>
      </c>
      <c r="AR591">
        <v>1920</v>
      </c>
      <c r="AZ591">
        <v>1200</v>
      </c>
      <c r="BA591">
        <v>1</v>
      </c>
      <c r="BB591" t="str">
        <f t="shared" si="30"/>
        <v xml:space="preserve">N690LS  </v>
      </c>
      <c r="BC591">
        <v>1</v>
      </c>
      <c r="BE591">
        <v>0</v>
      </c>
      <c r="BF591">
        <v>0</v>
      </c>
      <c r="BG591">
        <v>0</v>
      </c>
      <c r="BH591">
        <v>11775</v>
      </c>
      <c r="BI591">
        <v>1</v>
      </c>
      <c r="BJ591">
        <v>1</v>
      </c>
      <c r="BK591">
        <v>1</v>
      </c>
      <c r="BL591">
        <v>0</v>
      </c>
      <c r="BO591">
        <v>0</v>
      </c>
      <c r="BP591">
        <v>0</v>
      </c>
      <c r="BW591" t="str">
        <f>"13:55:24.869"</f>
        <v>13:55:24.869</v>
      </c>
      <c r="CJ591">
        <v>0</v>
      </c>
      <c r="CK591">
        <v>2</v>
      </c>
      <c r="CL591">
        <v>0</v>
      </c>
      <c r="CM591">
        <v>2</v>
      </c>
      <c r="CN591">
        <v>0</v>
      </c>
      <c r="CO591">
        <v>7</v>
      </c>
      <c r="CP591" t="s">
        <v>119</v>
      </c>
      <c r="CQ591">
        <v>197</v>
      </c>
      <c r="CR591">
        <v>2</v>
      </c>
      <c r="CW591">
        <v>2352487</v>
      </c>
      <c r="CY591">
        <v>1</v>
      </c>
      <c r="CZ591">
        <v>0</v>
      </c>
      <c r="DA591">
        <v>0</v>
      </c>
      <c r="DB591">
        <v>0</v>
      </c>
      <c r="DC591">
        <v>0</v>
      </c>
      <c r="DD591">
        <v>1</v>
      </c>
      <c r="DE591">
        <v>0</v>
      </c>
      <c r="DF591">
        <v>0</v>
      </c>
      <c r="DG591">
        <v>0</v>
      </c>
      <c r="DH591">
        <v>0</v>
      </c>
      <c r="DI591">
        <v>0</v>
      </c>
    </row>
    <row r="592" spans="1:113" x14ac:dyDescent="0.3">
      <c r="A592" t="str">
        <f>"09/28/2021 13:55:25.074"</f>
        <v>09/28/2021 13:55:25.074</v>
      </c>
      <c r="C592" t="str">
        <f t="shared" si="29"/>
        <v>FFDFD3C0</v>
      </c>
      <c r="D592" t="s">
        <v>113</v>
      </c>
      <c r="E592">
        <v>7</v>
      </c>
      <c r="H592">
        <v>170</v>
      </c>
      <c r="I592" t="s">
        <v>114</v>
      </c>
      <c r="J592" t="s">
        <v>115</v>
      </c>
      <c r="K592">
        <v>0</v>
      </c>
      <c r="L592">
        <v>3</v>
      </c>
      <c r="M592">
        <v>0</v>
      </c>
      <c r="N592">
        <v>2</v>
      </c>
      <c r="O592">
        <v>1</v>
      </c>
      <c r="P592">
        <v>0</v>
      </c>
      <c r="Q592">
        <v>0</v>
      </c>
      <c r="S592" t="str">
        <f>"13:55:24.867"</f>
        <v>13:55:24.867</v>
      </c>
      <c r="T592" t="str">
        <f>"13:55:24.367"</f>
        <v>13:55:24.367</v>
      </c>
      <c r="U592" t="str">
        <f t="shared" si="31"/>
        <v>A92BC1</v>
      </c>
      <c r="V592">
        <v>0</v>
      </c>
      <c r="W592">
        <v>0</v>
      </c>
      <c r="X592">
        <v>2</v>
      </c>
      <c r="Z592">
        <v>0</v>
      </c>
      <c r="AA592">
        <v>9</v>
      </c>
      <c r="AB592">
        <v>3</v>
      </c>
      <c r="AC592">
        <v>0</v>
      </c>
      <c r="AD592">
        <v>10</v>
      </c>
      <c r="AE592">
        <v>0</v>
      </c>
      <c r="AF592">
        <v>3</v>
      </c>
      <c r="AG592">
        <v>2</v>
      </c>
      <c r="AH592">
        <v>0</v>
      </c>
      <c r="AI592" t="s">
        <v>692</v>
      </c>
      <c r="AJ592">
        <v>45.770395000000001</v>
      </c>
      <c r="AK592" t="s">
        <v>693</v>
      </c>
      <c r="AL592">
        <v>-89.315478999999996</v>
      </c>
      <c r="AM592">
        <v>100</v>
      </c>
      <c r="AN592">
        <v>11400</v>
      </c>
      <c r="AO592" t="s">
        <v>118</v>
      </c>
      <c r="AP592">
        <v>124</v>
      </c>
      <c r="AQ592">
        <v>101</v>
      </c>
      <c r="AR592">
        <v>1920</v>
      </c>
      <c r="AZ592">
        <v>1200</v>
      </c>
      <c r="BA592">
        <v>1</v>
      </c>
      <c r="BB592" t="str">
        <f t="shared" si="30"/>
        <v xml:space="preserve">N690LS  </v>
      </c>
      <c r="BC592">
        <v>1</v>
      </c>
      <c r="BE592">
        <v>0</v>
      </c>
      <c r="BF592">
        <v>0</v>
      </c>
      <c r="BG592">
        <v>0</v>
      </c>
      <c r="BH592">
        <v>11775</v>
      </c>
      <c r="BI592">
        <v>1</v>
      </c>
      <c r="BJ592">
        <v>1</v>
      </c>
      <c r="BK592">
        <v>1</v>
      </c>
      <c r="BL592">
        <v>0</v>
      </c>
      <c r="BO592">
        <v>0</v>
      </c>
      <c r="BP592">
        <v>0</v>
      </c>
      <c r="BW592" t="str">
        <f>"13:55:24.869"</f>
        <v>13:55:24.869</v>
      </c>
      <c r="CJ592">
        <v>0</v>
      </c>
      <c r="CK592">
        <v>2</v>
      </c>
      <c r="CL592">
        <v>0</v>
      </c>
      <c r="CM592">
        <v>2</v>
      </c>
      <c r="CN592">
        <v>0</v>
      </c>
      <c r="CO592">
        <v>7</v>
      </c>
      <c r="CP592" t="s">
        <v>119</v>
      </c>
      <c r="CQ592">
        <v>197</v>
      </c>
      <c r="CR592">
        <v>2</v>
      </c>
      <c r="CW592">
        <v>2352487</v>
      </c>
      <c r="CY592">
        <v>1</v>
      </c>
      <c r="CZ592">
        <v>0</v>
      </c>
      <c r="DA592">
        <v>1</v>
      </c>
      <c r="DB592">
        <v>0</v>
      </c>
      <c r="DC592">
        <v>0</v>
      </c>
      <c r="DD592">
        <v>1</v>
      </c>
      <c r="DE592">
        <v>0</v>
      </c>
      <c r="DF592">
        <v>0</v>
      </c>
      <c r="DG592">
        <v>0</v>
      </c>
      <c r="DH592">
        <v>0</v>
      </c>
      <c r="DI592">
        <v>0</v>
      </c>
    </row>
    <row r="593" spans="1:113" x14ac:dyDescent="0.3">
      <c r="A593" t="str">
        <f>"09/28/2021 13:55:26.074"</f>
        <v>09/28/2021 13:55:26.074</v>
      </c>
      <c r="C593" t="str">
        <f t="shared" si="29"/>
        <v>FFDFD3C0</v>
      </c>
      <c r="D593" t="s">
        <v>113</v>
      </c>
      <c r="E593">
        <v>7</v>
      </c>
      <c r="H593">
        <v>170</v>
      </c>
      <c r="I593" t="s">
        <v>114</v>
      </c>
      <c r="J593" t="s">
        <v>115</v>
      </c>
      <c r="K593">
        <v>0</v>
      </c>
      <c r="L593">
        <v>3</v>
      </c>
      <c r="M593">
        <v>0</v>
      </c>
      <c r="N593">
        <v>2</v>
      </c>
      <c r="O593">
        <v>1</v>
      </c>
      <c r="P593">
        <v>0</v>
      </c>
      <c r="Q593">
        <v>0</v>
      </c>
      <c r="S593" t="str">
        <f>"13:55:25.836"</f>
        <v>13:55:25.836</v>
      </c>
      <c r="T593" t="str">
        <f>"13:55:25.336"</f>
        <v>13:55:25.336</v>
      </c>
      <c r="U593" t="str">
        <f t="shared" si="31"/>
        <v>A92BC1</v>
      </c>
      <c r="V593">
        <v>0</v>
      </c>
      <c r="W593">
        <v>0</v>
      </c>
      <c r="X593">
        <v>2</v>
      </c>
      <c r="Z593">
        <v>0</v>
      </c>
      <c r="AA593">
        <v>9</v>
      </c>
      <c r="AB593">
        <v>3</v>
      </c>
      <c r="AC593">
        <v>0</v>
      </c>
      <c r="AD593">
        <v>10</v>
      </c>
      <c r="AE593">
        <v>0</v>
      </c>
      <c r="AF593">
        <v>3</v>
      </c>
      <c r="AG593">
        <v>2</v>
      </c>
      <c r="AH593">
        <v>0</v>
      </c>
      <c r="AI593" t="s">
        <v>694</v>
      </c>
      <c r="AJ593">
        <v>45.770867000000003</v>
      </c>
      <c r="AK593" t="s">
        <v>695</v>
      </c>
      <c r="AL593">
        <v>-89.314728000000002</v>
      </c>
      <c r="AM593">
        <v>100</v>
      </c>
      <c r="AN593">
        <v>11500</v>
      </c>
      <c r="AO593" t="s">
        <v>118</v>
      </c>
      <c r="AP593">
        <v>124</v>
      </c>
      <c r="AQ593">
        <v>101</v>
      </c>
      <c r="AR593">
        <v>1920</v>
      </c>
      <c r="AZ593">
        <v>1200</v>
      </c>
      <c r="BA593">
        <v>1</v>
      </c>
      <c r="BB593" t="str">
        <f t="shared" si="30"/>
        <v xml:space="preserve">N690LS  </v>
      </c>
      <c r="BC593">
        <v>1</v>
      </c>
      <c r="BE593">
        <v>0</v>
      </c>
      <c r="BF593">
        <v>0</v>
      </c>
      <c r="BG593">
        <v>0</v>
      </c>
      <c r="BH593">
        <v>11825</v>
      </c>
      <c r="BI593">
        <v>1</v>
      </c>
      <c r="BJ593">
        <v>1</v>
      </c>
      <c r="BK593">
        <v>1</v>
      </c>
      <c r="BL593">
        <v>0</v>
      </c>
      <c r="BO593">
        <v>0</v>
      </c>
      <c r="BP593">
        <v>0</v>
      </c>
      <c r="BW593" t="str">
        <f>"13:55:25.837"</f>
        <v>13:55:25.837</v>
      </c>
      <c r="CJ593">
        <v>0</v>
      </c>
      <c r="CK593">
        <v>2</v>
      </c>
      <c r="CL593">
        <v>0</v>
      </c>
      <c r="CM593">
        <v>2</v>
      </c>
      <c r="CN593">
        <v>0</v>
      </c>
      <c r="CO593">
        <v>7</v>
      </c>
      <c r="CP593" t="s">
        <v>119</v>
      </c>
      <c r="CQ593">
        <v>197</v>
      </c>
      <c r="CR593">
        <v>2</v>
      </c>
      <c r="CW593">
        <v>2353312</v>
      </c>
      <c r="CY593">
        <v>1</v>
      </c>
      <c r="CZ593">
        <v>0</v>
      </c>
      <c r="DA593">
        <v>0</v>
      </c>
      <c r="DB593">
        <v>0</v>
      </c>
      <c r="DC593">
        <v>0</v>
      </c>
      <c r="DD593">
        <v>1</v>
      </c>
      <c r="DE593">
        <v>0</v>
      </c>
      <c r="DF593">
        <v>0</v>
      </c>
      <c r="DG593">
        <v>0</v>
      </c>
      <c r="DH593">
        <v>0</v>
      </c>
      <c r="DI593">
        <v>0</v>
      </c>
    </row>
    <row r="594" spans="1:113" x14ac:dyDescent="0.3">
      <c r="A594" t="str">
        <f>"09/28/2021 13:55:26.074"</f>
        <v>09/28/2021 13:55:26.074</v>
      </c>
      <c r="C594" t="str">
        <f t="shared" si="29"/>
        <v>FFDFD3C0</v>
      </c>
      <c r="D594" t="s">
        <v>120</v>
      </c>
      <c r="E594">
        <v>12</v>
      </c>
      <c r="F594">
        <v>1012</v>
      </c>
      <c r="G594" t="s">
        <v>114</v>
      </c>
      <c r="J594" t="s">
        <v>121</v>
      </c>
      <c r="K594">
        <v>0</v>
      </c>
      <c r="L594">
        <v>3</v>
      </c>
      <c r="M594">
        <v>0</v>
      </c>
      <c r="N594">
        <v>2</v>
      </c>
      <c r="O594">
        <v>1</v>
      </c>
      <c r="P594">
        <v>0</v>
      </c>
      <c r="Q594">
        <v>0</v>
      </c>
      <c r="S594" t="str">
        <f>"13:55:25.836"</f>
        <v>13:55:25.836</v>
      </c>
      <c r="T594" t="str">
        <f>"13:55:25.336"</f>
        <v>13:55:25.336</v>
      </c>
      <c r="U594" t="str">
        <f t="shared" si="31"/>
        <v>A92BC1</v>
      </c>
      <c r="V594">
        <v>0</v>
      </c>
      <c r="W594">
        <v>0</v>
      </c>
      <c r="X594">
        <v>2</v>
      </c>
      <c r="Z594">
        <v>0</v>
      </c>
      <c r="AA594">
        <v>9</v>
      </c>
      <c r="AB594">
        <v>3</v>
      </c>
      <c r="AC594">
        <v>0</v>
      </c>
      <c r="AD594">
        <v>10</v>
      </c>
      <c r="AE594">
        <v>0</v>
      </c>
      <c r="AF594">
        <v>3</v>
      </c>
      <c r="AG594">
        <v>2</v>
      </c>
      <c r="AH594">
        <v>0</v>
      </c>
      <c r="AI594" t="s">
        <v>694</v>
      </c>
      <c r="AJ594">
        <v>45.770867000000003</v>
      </c>
      <c r="AK594" t="s">
        <v>695</v>
      </c>
      <c r="AL594">
        <v>-89.314728000000002</v>
      </c>
      <c r="AM594">
        <v>100</v>
      </c>
      <c r="AN594">
        <v>11500</v>
      </c>
      <c r="AO594" t="s">
        <v>118</v>
      </c>
      <c r="AP594">
        <v>124</v>
      </c>
      <c r="AQ594">
        <v>101</v>
      </c>
      <c r="AR594">
        <v>1920</v>
      </c>
      <c r="AZ594">
        <v>1200</v>
      </c>
      <c r="BA594">
        <v>1</v>
      </c>
      <c r="BB594" t="str">
        <f t="shared" si="30"/>
        <v xml:space="preserve">N690LS  </v>
      </c>
      <c r="BC594">
        <v>1</v>
      </c>
      <c r="BE594">
        <v>0</v>
      </c>
      <c r="BF594">
        <v>0</v>
      </c>
      <c r="BG594">
        <v>0</v>
      </c>
      <c r="BH594">
        <v>11825</v>
      </c>
      <c r="BI594">
        <v>1</v>
      </c>
      <c r="BJ594">
        <v>1</v>
      </c>
      <c r="BK594">
        <v>1</v>
      </c>
      <c r="BL594">
        <v>0</v>
      </c>
      <c r="BO594">
        <v>0</v>
      </c>
      <c r="BP594">
        <v>0</v>
      </c>
      <c r="BW594" t="str">
        <f>"13:55:25.837"</f>
        <v>13:55:25.837</v>
      </c>
      <c r="CJ594">
        <v>0</v>
      </c>
      <c r="CK594">
        <v>2</v>
      </c>
      <c r="CL594">
        <v>0</v>
      </c>
      <c r="CM594">
        <v>2</v>
      </c>
      <c r="CN594">
        <v>0</v>
      </c>
      <c r="CO594">
        <v>7</v>
      </c>
      <c r="CP594" t="s">
        <v>119</v>
      </c>
      <c r="CQ594">
        <v>197</v>
      </c>
      <c r="CR594">
        <v>2</v>
      </c>
      <c r="CW594">
        <v>2353312</v>
      </c>
      <c r="CY594">
        <v>1</v>
      </c>
      <c r="CZ594">
        <v>0</v>
      </c>
      <c r="DA594">
        <v>1</v>
      </c>
      <c r="DB594">
        <v>0</v>
      </c>
      <c r="DC594">
        <v>0</v>
      </c>
      <c r="DD594">
        <v>1</v>
      </c>
      <c r="DE594">
        <v>0</v>
      </c>
      <c r="DF594">
        <v>0</v>
      </c>
      <c r="DG594">
        <v>0</v>
      </c>
      <c r="DH594">
        <v>0</v>
      </c>
      <c r="DI594">
        <v>0</v>
      </c>
    </row>
    <row r="595" spans="1:113" x14ac:dyDescent="0.3">
      <c r="A595" t="str">
        <f>"09/28/2021 13:55:26.980"</f>
        <v>09/28/2021 13:55:26.980</v>
      </c>
      <c r="C595" t="str">
        <f t="shared" si="29"/>
        <v>FFDFD3C0</v>
      </c>
      <c r="D595" t="s">
        <v>120</v>
      </c>
      <c r="E595">
        <v>12</v>
      </c>
      <c r="F595">
        <v>1012</v>
      </c>
      <c r="G595" t="s">
        <v>114</v>
      </c>
      <c r="J595" t="s">
        <v>121</v>
      </c>
      <c r="K595">
        <v>0</v>
      </c>
      <c r="L595">
        <v>3</v>
      </c>
      <c r="M595">
        <v>0</v>
      </c>
      <c r="N595">
        <v>2</v>
      </c>
      <c r="O595">
        <v>1</v>
      </c>
      <c r="P595">
        <v>0</v>
      </c>
      <c r="Q595">
        <v>0</v>
      </c>
      <c r="S595" t="str">
        <f>"13:55:26.781"</f>
        <v>13:55:26.781</v>
      </c>
      <c r="T595" t="str">
        <f>"13:55:26.381"</f>
        <v>13:55:26.381</v>
      </c>
      <c r="U595" t="str">
        <f t="shared" si="31"/>
        <v>A92BC1</v>
      </c>
      <c r="V595">
        <v>0</v>
      </c>
      <c r="W595">
        <v>0</v>
      </c>
      <c r="X595">
        <v>2</v>
      </c>
      <c r="Z595">
        <v>0</v>
      </c>
      <c r="AA595">
        <v>9</v>
      </c>
      <c r="AB595">
        <v>3</v>
      </c>
      <c r="AC595">
        <v>0</v>
      </c>
      <c r="AD595">
        <v>10</v>
      </c>
      <c r="AE595">
        <v>0</v>
      </c>
      <c r="AF595">
        <v>3</v>
      </c>
      <c r="AG595">
        <v>2</v>
      </c>
      <c r="AH595">
        <v>0</v>
      </c>
      <c r="AI595" t="s">
        <v>696</v>
      </c>
      <c r="AJ595">
        <v>45.771296</v>
      </c>
      <c r="AK595" t="s">
        <v>697</v>
      </c>
      <c r="AL595">
        <v>-89.313955000000007</v>
      </c>
      <c r="AM595">
        <v>100</v>
      </c>
      <c r="AN595">
        <v>11500</v>
      </c>
      <c r="AO595" t="s">
        <v>118</v>
      </c>
      <c r="AP595">
        <v>124</v>
      </c>
      <c r="AQ595">
        <v>101</v>
      </c>
      <c r="AR595">
        <v>1920</v>
      </c>
      <c r="AZ595">
        <v>1200</v>
      </c>
      <c r="BA595">
        <v>1</v>
      </c>
      <c r="BB595" t="str">
        <f t="shared" si="30"/>
        <v xml:space="preserve">N690LS  </v>
      </c>
      <c r="BC595">
        <v>1</v>
      </c>
      <c r="BE595">
        <v>0</v>
      </c>
      <c r="BF595">
        <v>0</v>
      </c>
      <c r="BG595">
        <v>0</v>
      </c>
      <c r="BH595">
        <v>11850</v>
      </c>
      <c r="BI595">
        <v>1</v>
      </c>
      <c r="BJ595">
        <v>1</v>
      </c>
      <c r="BK595">
        <v>1</v>
      </c>
      <c r="BL595">
        <v>0</v>
      </c>
      <c r="BO595">
        <v>0</v>
      </c>
      <c r="BP595">
        <v>0</v>
      </c>
      <c r="BW595" t="str">
        <f>"13:55:26.784"</f>
        <v>13:55:26.784</v>
      </c>
      <c r="CJ595">
        <v>0</v>
      </c>
      <c r="CK595">
        <v>2</v>
      </c>
      <c r="CL595">
        <v>0</v>
      </c>
      <c r="CM595">
        <v>2</v>
      </c>
      <c r="CN595">
        <v>0</v>
      </c>
      <c r="CO595">
        <v>7</v>
      </c>
      <c r="CP595" t="s">
        <v>119</v>
      </c>
      <c r="CQ595">
        <v>197</v>
      </c>
      <c r="CR595">
        <v>1</v>
      </c>
      <c r="CW595">
        <v>7286963</v>
      </c>
      <c r="CY595">
        <v>1</v>
      </c>
      <c r="CZ595">
        <v>0</v>
      </c>
      <c r="DA595">
        <v>0</v>
      </c>
      <c r="DB595">
        <v>0</v>
      </c>
      <c r="DC595">
        <v>0</v>
      </c>
      <c r="DD595">
        <v>1</v>
      </c>
      <c r="DE595">
        <v>0</v>
      </c>
      <c r="DF595">
        <v>0</v>
      </c>
      <c r="DG595">
        <v>0</v>
      </c>
      <c r="DH595">
        <v>0</v>
      </c>
      <c r="DI595">
        <v>0</v>
      </c>
    </row>
    <row r="596" spans="1:113" x14ac:dyDescent="0.3">
      <c r="A596" t="str">
        <f>"09/28/2021 13:55:26.996"</f>
        <v>09/28/2021 13:55:26.996</v>
      </c>
      <c r="C596" t="str">
        <f t="shared" si="29"/>
        <v>FFDFD3C0</v>
      </c>
      <c r="D596" t="s">
        <v>113</v>
      </c>
      <c r="E596">
        <v>7</v>
      </c>
      <c r="H596">
        <v>170</v>
      </c>
      <c r="I596" t="s">
        <v>114</v>
      </c>
      <c r="J596" t="s">
        <v>115</v>
      </c>
      <c r="K596">
        <v>0</v>
      </c>
      <c r="L596">
        <v>3</v>
      </c>
      <c r="M596">
        <v>0</v>
      </c>
      <c r="N596">
        <v>2</v>
      </c>
      <c r="O596">
        <v>1</v>
      </c>
      <c r="P596">
        <v>0</v>
      </c>
      <c r="Q596">
        <v>0</v>
      </c>
      <c r="S596" t="str">
        <f>"13:55:26.781"</f>
        <v>13:55:26.781</v>
      </c>
      <c r="T596" t="str">
        <f>"13:55:26.381"</f>
        <v>13:55:26.381</v>
      </c>
      <c r="U596" t="str">
        <f t="shared" si="31"/>
        <v>A92BC1</v>
      </c>
      <c r="V596">
        <v>0</v>
      </c>
      <c r="W596">
        <v>0</v>
      </c>
      <c r="X596">
        <v>2</v>
      </c>
      <c r="Z596">
        <v>0</v>
      </c>
      <c r="AA596">
        <v>9</v>
      </c>
      <c r="AB596">
        <v>3</v>
      </c>
      <c r="AC596">
        <v>0</v>
      </c>
      <c r="AD596">
        <v>10</v>
      </c>
      <c r="AE596">
        <v>0</v>
      </c>
      <c r="AF596">
        <v>3</v>
      </c>
      <c r="AG596">
        <v>2</v>
      </c>
      <c r="AH596">
        <v>0</v>
      </c>
      <c r="AI596" t="s">
        <v>696</v>
      </c>
      <c r="AJ596">
        <v>45.771296</v>
      </c>
      <c r="AK596" t="s">
        <v>697</v>
      </c>
      <c r="AL596">
        <v>-89.313955000000007</v>
      </c>
      <c r="AM596">
        <v>100</v>
      </c>
      <c r="AN596">
        <v>11500</v>
      </c>
      <c r="AO596" t="s">
        <v>118</v>
      </c>
      <c r="AP596">
        <v>124</v>
      </c>
      <c r="AQ596">
        <v>101</v>
      </c>
      <c r="AR596">
        <v>1920</v>
      </c>
      <c r="AZ596">
        <v>1200</v>
      </c>
      <c r="BA596">
        <v>1</v>
      </c>
      <c r="BB596" t="str">
        <f t="shared" si="30"/>
        <v xml:space="preserve">N690LS  </v>
      </c>
      <c r="BC596">
        <v>1</v>
      </c>
      <c r="BE596">
        <v>0</v>
      </c>
      <c r="BF596">
        <v>0</v>
      </c>
      <c r="BG596">
        <v>0</v>
      </c>
      <c r="BH596">
        <v>11850</v>
      </c>
      <c r="BI596">
        <v>1</v>
      </c>
      <c r="BJ596">
        <v>1</v>
      </c>
      <c r="BK596">
        <v>1</v>
      </c>
      <c r="BL596">
        <v>0</v>
      </c>
      <c r="BO596">
        <v>0</v>
      </c>
      <c r="BP596">
        <v>0</v>
      </c>
      <c r="BW596" t="str">
        <f>"13:55:26.784"</f>
        <v>13:55:26.784</v>
      </c>
      <c r="CJ596">
        <v>0</v>
      </c>
      <c r="CK596">
        <v>2</v>
      </c>
      <c r="CL596">
        <v>0</v>
      </c>
      <c r="CM596">
        <v>2</v>
      </c>
      <c r="CN596">
        <v>0</v>
      </c>
      <c r="CO596">
        <v>7</v>
      </c>
      <c r="CP596" t="s">
        <v>119</v>
      </c>
      <c r="CQ596">
        <v>197</v>
      </c>
      <c r="CR596">
        <v>1</v>
      </c>
      <c r="CW596">
        <v>7286963</v>
      </c>
      <c r="CY596">
        <v>1</v>
      </c>
      <c r="CZ596">
        <v>0</v>
      </c>
      <c r="DA596">
        <v>1</v>
      </c>
      <c r="DB596">
        <v>0</v>
      </c>
      <c r="DC596">
        <v>0</v>
      </c>
      <c r="DD596">
        <v>1</v>
      </c>
      <c r="DE596">
        <v>0</v>
      </c>
      <c r="DF596">
        <v>0</v>
      </c>
      <c r="DG596">
        <v>0</v>
      </c>
      <c r="DH596">
        <v>0</v>
      </c>
      <c r="DI596">
        <v>0</v>
      </c>
    </row>
    <row r="597" spans="1:113" x14ac:dyDescent="0.3">
      <c r="A597" t="str">
        <f>"09/28/2021 13:55:28.058"</f>
        <v>09/28/2021 13:55:28.058</v>
      </c>
      <c r="C597" t="str">
        <f t="shared" si="29"/>
        <v>FFDFD3C0</v>
      </c>
      <c r="D597" t="s">
        <v>113</v>
      </c>
      <c r="E597">
        <v>7</v>
      </c>
      <c r="H597">
        <v>170</v>
      </c>
      <c r="I597" t="s">
        <v>114</v>
      </c>
      <c r="J597" t="s">
        <v>115</v>
      </c>
      <c r="K597">
        <v>0</v>
      </c>
      <c r="L597">
        <v>3</v>
      </c>
      <c r="M597">
        <v>0</v>
      </c>
      <c r="N597">
        <v>2</v>
      </c>
      <c r="O597">
        <v>1</v>
      </c>
      <c r="P597">
        <v>0</v>
      </c>
      <c r="Q597">
        <v>0</v>
      </c>
      <c r="S597" t="str">
        <f>"13:55:27.820"</f>
        <v>13:55:27.820</v>
      </c>
      <c r="T597" t="str">
        <f>"13:55:27.420"</f>
        <v>13:55:27.420</v>
      </c>
      <c r="U597" t="str">
        <f t="shared" si="31"/>
        <v>A92BC1</v>
      </c>
      <c r="V597">
        <v>0</v>
      </c>
      <c r="W597">
        <v>0</v>
      </c>
      <c r="X597">
        <v>2</v>
      </c>
      <c r="Z597">
        <v>0</v>
      </c>
      <c r="AA597">
        <v>9</v>
      </c>
      <c r="AB597">
        <v>3</v>
      </c>
      <c r="AC597">
        <v>0</v>
      </c>
      <c r="AD597">
        <v>10</v>
      </c>
      <c r="AE597">
        <v>0</v>
      </c>
      <c r="AF597">
        <v>3</v>
      </c>
      <c r="AG597">
        <v>2</v>
      </c>
      <c r="AH597">
        <v>0</v>
      </c>
      <c r="AI597" t="s">
        <v>698</v>
      </c>
      <c r="AJ597">
        <v>45.771746999999998</v>
      </c>
      <c r="AK597" t="s">
        <v>699</v>
      </c>
      <c r="AL597">
        <v>-89.313160999999994</v>
      </c>
      <c r="AM597">
        <v>100</v>
      </c>
      <c r="AN597">
        <v>11500</v>
      </c>
      <c r="AO597" t="s">
        <v>118</v>
      </c>
      <c r="AP597">
        <v>124</v>
      </c>
      <c r="AQ597">
        <v>101</v>
      </c>
      <c r="AR597">
        <v>1920</v>
      </c>
      <c r="AZ597">
        <v>1200</v>
      </c>
      <c r="BA597">
        <v>1</v>
      </c>
      <c r="BB597" t="str">
        <f t="shared" si="30"/>
        <v xml:space="preserve">N690LS  </v>
      </c>
      <c r="BC597">
        <v>1</v>
      </c>
      <c r="BE597">
        <v>0</v>
      </c>
      <c r="BF597">
        <v>0</v>
      </c>
      <c r="BG597">
        <v>0</v>
      </c>
      <c r="BH597">
        <v>11875</v>
      </c>
      <c r="BI597">
        <v>1</v>
      </c>
      <c r="BJ597">
        <v>1</v>
      </c>
      <c r="BK597">
        <v>1</v>
      </c>
      <c r="BL597">
        <v>0</v>
      </c>
      <c r="BO597">
        <v>0</v>
      </c>
      <c r="BP597">
        <v>0</v>
      </c>
      <c r="BW597" t="str">
        <f>"13:55:27.821"</f>
        <v>13:55:27.821</v>
      </c>
      <c r="CJ597">
        <v>0</v>
      </c>
      <c r="CK597">
        <v>2</v>
      </c>
      <c r="CL597">
        <v>0</v>
      </c>
      <c r="CM597">
        <v>2</v>
      </c>
      <c r="CN597">
        <v>0</v>
      </c>
      <c r="CO597">
        <v>7</v>
      </c>
      <c r="CP597" t="s">
        <v>119</v>
      </c>
      <c r="CQ597">
        <v>197</v>
      </c>
      <c r="CR597">
        <v>1</v>
      </c>
      <c r="CW597">
        <v>7288048</v>
      </c>
      <c r="CY597">
        <v>1</v>
      </c>
      <c r="CZ597">
        <v>0</v>
      </c>
      <c r="DA597">
        <v>0</v>
      </c>
      <c r="DB597">
        <v>0</v>
      </c>
      <c r="DC597">
        <v>0</v>
      </c>
      <c r="DD597">
        <v>1</v>
      </c>
      <c r="DE597">
        <v>0</v>
      </c>
      <c r="DF597">
        <v>0</v>
      </c>
      <c r="DG597">
        <v>0</v>
      </c>
      <c r="DH597">
        <v>0</v>
      </c>
      <c r="DI597">
        <v>0</v>
      </c>
    </row>
    <row r="598" spans="1:113" x14ac:dyDescent="0.3">
      <c r="A598" t="str">
        <f>"09/28/2021 13:55:28.027"</f>
        <v>09/28/2021 13:55:28.027</v>
      </c>
      <c r="C598" t="str">
        <f t="shared" si="29"/>
        <v>FFDFD3C0</v>
      </c>
      <c r="D598" t="s">
        <v>120</v>
      </c>
      <c r="E598">
        <v>12</v>
      </c>
      <c r="F598">
        <v>1012</v>
      </c>
      <c r="G598" t="s">
        <v>114</v>
      </c>
      <c r="J598" t="s">
        <v>121</v>
      </c>
      <c r="K598">
        <v>0</v>
      </c>
      <c r="L598">
        <v>3</v>
      </c>
      <c r="M598">
        <v>0</v>
      </c>
      <c r="N598">
        <v>2</v>
      </c>
      <c r="O598">
        <v>1</v>
      </c>
      <c r="P598">
        <v>0</v>
      </c>
      <c r="Q598">
        <v>0</v>
      </c>
      <c r="S598" t="str">
        <f>"13:55:27.820"</f>
        <v>13:55:27.820</v>
      </c>
      <c r="T598" t="str">
        <f>"13:55:27.420"</f>
        <v>13:55:27.420</v>
      </c>
      <c r="U598" t="str">
        <f t="shared" si="31"/>
        <v>A92BC1</v>
      </c>
      <c r="V598">
        <v>0</v>
      </c>
      <c r="W598">
        <v>0</v>
      </c>
      <c r="X598">
        <v>2</v>
      </c>
      <c r="Z598">
        <v>0</v>
      </c>
      <c r="AA598">
        <v>9</v>
      </c>
      <c r="AB598">
        <v>3</v>
      </c>
      <c r="AC598">
        <v>0</v>
      </c>
      <c r="AD598">
        <v>10</v>
      </c>
      <c r="AE598">
        <v>0</v>
      </c>
      <c r="AF598">
        <v>3</v>
      </c>
      <c r="AG598">
        <v>2</v>
      </c>
      <c r="AH598">
        <v>0</v>
      </c>
      <c r="AI598" t="s">
        <v>698</v>
      </c>
      <c r="AJ598">
        <v>45.771746999999998</v>
      </c>
      <c r="AK598" t="s">
        <v>699</v>
      </c>
      <c r="AL598">
        <v>-89.313160999999994</v>
      </c>
      <c r="AM598">
        <v>100</v>
      </c>
      <c r="AN598">
        <v>11500</v>
      </c>
      <c r="AO598" t="s">
        <v>118</v>
      </c>
      <c r="AP598">
        <v>124</v>
      </c>
      <c r="AQ598">
        <v>101</v>
      </c>
      <c r="AR598">
        <v>1920</v>
      </c>
      <c r="AZ598">
        <v>1200</v>
      </c>
      <c r="BA598">
        <v>1</v>
      </c>
      <c r="BB598" t="str">
        <f t="shared" si="30"/>
        <v xml:space="preserve">N690LS  </v>
      </c>
      <c r="BC598">
        <v>1</v>
      </c>
      <c r="BE598">
        <v>0</v>
      </c>
      <c r="BF598">
        <v>0</v>
      </c>
      <c r="BG598">
        <v>0</v>
      </c>
      <c r="BH598">
        <v>11875</v>
      </c>
      <c r="BI598">
        <v>1</v>
      </c>
      <c r="BJ598">
        <v>1</v>
      </c>
      <c r="BK598">
        <v>1</v>
      </c>
      <c r="BL598">
        <v>0</v>
      </c>
      <c r="BO598">
        <v>0</v>
      </c>
      <c r="BP598">
        <v>0</v>
      </c>
      <c r="BW598" t="str">
        <f>"13:55:27.821"</f>
        <v>13:55:27.821</v>
      </c>
      <c r="CJ598">
        <v>0</v>
      </c>
      <c r="CK598">
        <v>2</v>
      </c>
      <c r="CL598">
        <v>0</v>
      </c>
      <c r="CM598">
        <v>2</v>
      </c>
      <c r="CN598">
        <v>0</v>
      </c>
      <c r="CO598">
        <v>7</v>
      </c>
      <c r="CP598" t="s">
        <v>119</v>
      </c>
      <c r="CQ598">
        <v>197</v>
      </c>
      <c r="CR598">
        <v>1</v>
      </c>
      <c r="CW598">
        <v>7288048</v>
      </c>
      <c r="CY598">
        <v>1</v>
      </c>
      <c r="CZ598">
        <v>0</v>
      </c>
      <c r="DA598">
        <v>1</v>
      </c>
      <c r="DB598">
        <v>0</v>
      </c>
      <c r="DC598">
        <v>0</v>
      </c>
      <c r="DD598">
        <v>1</v>
      </c>
      <c r="DE598">
        <v>0</v>
      </c>
      <c r="DF598">
        <v>0</v>
      </c>
      <c r="DG598">
        <v>0</v>
      </c>
      <c r="DH598">
        <v>0</v>
      </c>
      <c r="DI598">
        <v>0</v>
      </c>
    </row>
    <row r="599" spans="1:113" x14ac:dyDescent="0.3">
      <c r="A599" t="str">
        <f>"09/28/2021 13:55:28.919"</f>
        <v>09/28/2021 13:55:28.919</v>
      </c>
      <c r="C599" t="str">
        <f t="shared" si="29"/>
        <v>FFDFD3C0</v>
      </c>
      <c r="D599" t="s">
        <v>113</v>
      </c>
      <c r="E599">
        <v>7</v>
      </c>
      <c r="H599">
        <v>170</v>
      </c>
      <c r="I599" t="s">
        <v>114</v>
      </c>
      <c r="J599" t="s">
        <v>115</v>
      </c>
      <c r="K599">
        <v>0</v>
      </c>
      <c r="L599">
        <v>3</v>
      </c>
      <c r="M599">
        <v>0</v>
      </c>
      <c r="N599">
        <v>2</v>
      </c>
      <c r="O599">
        <v>1</v>
      </c>
      <c r="P599">
        <v>0</v>
      </c>
      <c r="Q599">
        <v>0</v>
      </c>
      <c r="S599" t="str">
        <f>"13:55:28.672"</f>
        <v>13:55:28.672</v>
      </c>
      <c r="T599" t="str">
        <f>"13:55:28.272"</f>
        <v>13:55:28.272</v>
      </c>
      <c r="U599" t="str">
        <f t="shared" si="31"/>
        <v>A92BC1</v>
      </c>
      <c r="V599">
        <v>0</v>
      </c>
      <c r="W599">
        <v>0</v>
      </c>
      <c r="X599">
        <v>2</v>
      </c>
      <c r="Z599">
        <v>0</v>
      </c>
      <c r="AA599">
        <v>9</v>
      </c>
      <c r="AB599">
        <v>3</v>
      </c>
      <c r="AC599">
        <v>0</v>
      </c>
      <c r="AD599">
        <v>10</v>
      </c>
      <c r="AE599">
        <v>0</v>
      </c>
      <c r="AF599">
        <v>3</v>
      </c>
      <c r="AG599">
        <v>2</v>
      </c>
      <c r="AH599">
        <v>0</v>
      </c>
      <c r="AI599" t="s">
        <v>700</v>
      </c>
      <c r="AJ599">
        <v>45.772154</v>
      </c>
      <c r="AK599" t="s">
        <v>701</v>
      </c>
      <c r="AL599">
        <v>-89.312388999999996</v>
      </c>
      <c r="AM599">
        <v>100</v>
      </c>
      <c r="AN599">
        <v>11500</v>
      </c>
      <c r="AO599" t="s">
        <v>118</v>
      </c>
      <c r="AP599">
        <v>124</v>
      </c>
      <c r="AQ599">
        <v>101</v>
      </c>
      <c r="AR599">
        <v>1728</v>
      </c>
      <c r="AZ599">
        <v>1200</v>
      </c>
      <c r="BA599">
        <v>1</v>
      </c>
      <c r="BB599" t="str">
        <f t="shared" si="30"/>
        <v xml:space="preserve">N690LS  </v>
      </c>
      <c r="BC599">
        <v>1</v>
      </c>
      <c r="BE599">
        <v>0</v>
      </c>
      <c r="BF599">
        <v>0</v>
      </c>
      <c r="BG599">
        <v>0</v>
      </c>
      <c r="BH599">
        <v>11900</v>
      </c>
      <c r="BI599">
        <v>1</v>
      </c>
      <c r="BJ599">
        <v>1</v>
      </c>
      <c r="BK599">
        <v>1</v>
      </c>
      <c r="BL599">
        <v>0</v>
      </c>
      <c r="BO599">
        <v>0</v>
      </c>
      <c r="BP599">
        <v>0</v>
      </c>
      <c r="BW599" t="str">
        <f>"13:55:28.677"</f>
        <v>13:55:28.677</v>
      </c>
      <c r="CJ599">
        <v>0</v>
      </c>
      <c r="CK599">
        <v>2</v>
      </c>
      <c r="CL599">
        <v>0</v>
      </c>
      <c r="CM599">
        <v>2</v>
      </c>
      <c r="CN599">
        <v>0</v>
      </c>
      <c r="CO599">
        <v>7</v>
      </c>
      <c r="CP599" t="s">
        <v>119</v>
      </c>
      <c r="CQ599">
        <v>197</v>
      </c>
      <c r="CR599">
        <v>2</v>
      </c>
      <c r="CW599">
        <v>2355639</v>
      </c>
      <c r="CY599">
        <v>1</v>
      </c>
      <c r="CZ599">
        <v>0</v>
      </c>
      <c r="DA599">
        <v>0</v>
      </c>
      <c r="DB599">
        <v>0</v>
      </c>
      <c r="DC599">
        <v>0</v>
      </c>
      <c r="DD599">
        <v>1</v>
      </c>
      <c r="DE599">
        <v>0</v>
      </c>
      <c r="DF599">
        <v>0</v>
      </c>
      <c r="DG599">
        <v>0</v>
      </c>
      <c r="DH599">
        <v>0</v>
      </c>
      <c r="DI599">
        <v>0</v>
      </c>
    </row>
    <row r="600" spans="1:113" x14ac:dyDescent="0.3">
      <c r="A600" t="str">
        <f>"09/28/2021 13:55:28.935"</f>
        <v>09/28/2021 13:55:28.935</v>
      </c>
      <c r="C600" t="str">
        <f t="shared" si="29"/>
        <v>FFDFD3C0</v>
      </c>
      <c r="D600" t="s">
        <v>120</v>
      </c>
      <c r="E600">
        <v>12</v>
      </c>
      <c r="F600">
        <v>1012</v>
      </c>
      <c r="G600" t="s">
        <v>114</v>
      </c>
      <c r="J600" t="s">
        <v>121</v>
      </c>
      <c r="K600">
        <v>0</v>
      </c>
      <c r="L600">
        <v>3</v>
      </c>
      <c r="M600">
        <v>0</v>
      </c>
      <c r="N600">
        <v>2</v>
      </c>
      <c r="O600">
        <v>1</v>
      </c>
      <c r="P600">
        <v>0</v>
      </c>
      <c r="Q600">
        <v>0</v>
      </c>
      <c r="S600" t="str">
        <f>"13:55:28.672"</f>
        <v>13:55:28.672</v>
      </c>
      <c r="T600" t="str">
        <f>"13:55:28.272"</f>
        <v>13:55:28.272</v>
      </c>
      <c r="U600" t="str">
        <f t="shared" si="31"/>
        <v>A92BC1</v>
      </c>
      <c r="V600">
        <v>0</v>
      </c>
      <c r="W600">
        <v>0</v>
      </c>
      <c r="X600">
        <v>2</v>
      </c>
      <c r="Z600">
        <v>0</v>
      </c>
      <c r="AA600">
        <v>9</v>
      </c>
      <c r="AB600">
        <v>3</v>
      </c>
      <c r="AC600">
        <v>0</v>
      </c>
      <c r="AD600">
        <v>10</v>
      </c>
      <c r="AE600">
        <v>0</v>
      </c>
      <c r="AF600">
        <v>3</v>
      </c>
      <c r="AG600">
        <v>2</v>
      </c>
      <c r="AH600">
        <v>0</v>
      </c>
      <c r="AI600" t="s">
        <v>700</v>
      </c>
      <c r="AJ600">
        <v>45.772154</v>
      </c>
      <c r="AK600" t="s">
        <v>701</v>
      </c>
      <c r="AL600">
        <v>-89.312388999999996</v>
      </c>
      <c r="AM600">
        <v>100</v>
      </c>
      <c r="AN600">
        <v>11500</v>
      </c>
      <c r="AO600" t="s">
        <v>118</v>
      </c>
      <c r="AP600">
        <v>124</v>
      </c>
      <c r="AQ600">
        <v>101</v>
      </c>
      <c r="AR600">
        <v>1728</v>
      </c>
      <c r="AZ600">
        <v>1200</v>
      </c>
      <c r="BA600">
        <v>1</v>
      </c>
      <c r="BB600" t="str">
        <f t="shared" si="30"/>
        <v xml:space="preserve">N690LS  </v>
      </c>
      <c r="BC600">
        <v>1</v>
      </c>
      <c r="BE600">
        <v>0</v>
      </c>
      <c r="BF600">
        <v>0</v>
      </c>
      <c r="BG600">
        <v>0</v>
      </c>
      <c r="BH600">
        <v>11900</v>
      </c>
      <c r="BI600">
        <v>1</v>
      </c>
      <c r="BJ600">
        <v>1</v>
      </c>
      <c r="BK600">
        <v>1</v>
      </c>
      <c r="BL600">
        <v>0</v>
      </c>
      <c r="BO600">
        <v>0</v>
      </c>
      <c r="BP600">
        <v>0</v>
      </c>
      <c r="BW600" t="str">
        <f>"13:55:28.677"</f>
        <v>13:55:28.677</v>
      </c>
      <c r="CJ600">
        <v>0</v>
      </c>
      <c r="CK600">
        <v>2</v>
      </c>
      <c r="CL600">
        <v>0</v>
      </c>
      <c r="CM600">
        <v>2</v>
      </c>
      <c r="CN600">
        <v>0</v>
      </c>
      <c r="CO600">
        <v>7</v>
      </c>
      <c r="CP600" t="s">
        <v>119</v>
      </c>
      <c r="CQ600">
        <v>197</v>
      </c>
      <c r="CR600">
        <v>2</v>
      </c>
      <c r="CW600">
        <v>2355639</v>
      </c>
      <c r="CY600">
        <v>1</v>
      </c>
      <c r="CZ600">
        <v>0</v>
      </c>
      <c r="DA600">
        <v>1</v>
      </c>
      <c r="DB600">
        <v>0</v>
      </c>
      <c r="DC600">
        <v>0</v>
      </c>
      <c r="DD600">
        <v>1</v>
      </c>
      <c r="DE600">
        <v>0</v>
      </c>
      <c r="DF600">
        <v>0</v>
      </c>
      <c r="DG600">
        <v>0</v>
      </c>
      <c r="DH600">
        <v>0</v>
      </c>
      <c r="DI600">
        <v>0</v>
      </c>
    </row>
    <row r="601" spans="1:113" x14ac:dyDescent="0.3">
      <c r="A601" t="str">
        <f>"09/28/2021 13:55:29.966"</f>
        <v>09/28/2021 13:55:29.966</v>
      </c>
      <c r="C601" t="str">
        <f t="shared" si="29"/>
        <v>FFDFD3C0</v>
      </c>
      <c r="D601" t="s">
        <v>113</v>
      </c>
      <c r="E601">
        <v>7</v>
      </c>
      <c r="H601">
        <v>170</v>
      </c>
      <c r="I601" t="s">
        <v>114</v>
      </c>
      <c r="J601" t="s">
        <v>115</v>
      </c>
      <c r="K601">
        <v>0</v>
      </c>
      <c r="L601">
        <v>3</v>
      </c>
      <c r="M601">
        <v>0</v>
      </c>
      <c r="N601">
        <v>2</v>
      </c>
      <c r="O601">
        <v>1</v>
      </c>
      <c r="P601">
        <v>0</v>
      </c>
      <c r="Q601">
        <v>0</v>
      </c>
      <c r="S601" t="str">
        <f>"13:55:29.711"</f>
        <v>13:55:29.711</v>
      </c>
      <c r="T601" t="str">
        <f>"13:55:29.211"</f>
        <v>13:55:29.211</v>
      </c>
      <c r="U601" t="str">
        <f t="shared" si="31"/>
        <v>A92BC1</v>
      </c>
      <c r="V601">
        <v>0</v>
      </c>
      <c r="W601">
        <v>0</v>
      </c>
      <c r="X601">
        <v>2</v>
      </c>
      <c r="Z601">
        <v>0</v>
      </c>
      <c r="AA601">
        <v>9</v>
      </c>
      <c r="AB601">
        <v>3</v>
      </c>
      <c r="AC601">
        <v>0</v>
      </c>
      <c r="AD601">
        <v>10</v>
      </c>
      <c r="AE601">
        <v>0</v>
      </c>
      <c r="AF601">
        <v>3</v>
      </c>
      <c r="AG601">
        <v>2</v>
      </c>
      <c r="AH601">
        <v>0</v>
      </c>
      <c r="AI601" t="s">
        <v>702</v>
      </c>
      <c r="AJ601">
        <v>45.772626000000002</v>
      </c>
      <c r="AK601" t="s">
        <v>703</v>
      </c>
      <c r="AL601">
        <v>-89.311573999999993</v>
      </c>
      <c r="AM601">
        <v>100</v>
      </c>
      <c r="AN601">
        <v>11600</v>
      </c>
      <c r="AO601" t="s">
        <v>118</v>
      </c>
      <c r="AP601">
        <v>125</v>
      </c>
      <c r="AQ601">
        <v>101</v>
      </c>
      <c r="AR601">
        <v>1664</v>
      </c>
      <c r="AZ601">
        <v>1200</v>
      </c>
      <c r="BA601">
        <v>1</v>
      </c>
      <c r="BB601" t="str">
        <f t="shared" si="30"/>
        <v xml:space="preserve">N690LS  </v>
      </c>
      <c r="BC601">
        <v>1</v>
      </c>
      <c r="BE601">
        <v>0</v>
      </c>
      <c r="BF601">
        <v>0</v>
      </c>
      <c r="BG601">
        <v>0</v>
      </c>
      <c r="BH601">
        <v>11925</v>
      </c>
      <c r="BI601">
        <v>1</v>
      </c>
      <c r="BJ601">
        <v>1</v>
      </c>
      <c r="BK601">
        <v>1</v>
      </c>
      <c r="BL601">
        <v>0</v>
      </c>
      <c r="BO601">
        <v>0</v>
      </c>
      <c r="BP601">
        <v>0</v>
      </c>
      <c r="BW601" t="str">
        <f>"13:55:29.717"</f>
        <v>13:55:29.717</v>
      </c>
      <c r="CJ601">
        <v>0</v>
      </c>
      <c r="CK601">
        <v>2</v>
      </c>
      <c r="CL601">
        <v>0</v>
      </c>
      <c r="CM601">
        <v>2</v>
      </c>
      <c r="CN601">
        <v>0</v>
      </c>
      <c r="CO601">
        <v>7</v>
      </c>
      <c r="CP601" t="s">
        <v>119</v>
      </c>
      <c r="CQ601">
        <v>197</v>
      </c>
      <c r="CR601">
        <v>2</v>
      </c>
      <c r="CW601">
        <v>2356508</v>
      </c>
      <c r="CY601">
        <v>1</v>
      </c>
      <c r="CZ601">
        <v>0</v>
      </c>
      <c r="DA601">
        <v>0</v>
      </c>
      <c r="DB601">
        <v>0</v>
      </c>
      <c r="DC601">
        <v>0</v>
      </c>
      <c r="DD601">
        <v>1</v>
      </c>
      <c r="DE601">
        <v>0</v>
      </c>
      <c r="DF601">
        <v>0</v>
      </c>
      <c r="DG601">
        <v>0</v>
      </c>
      <c r="DH601">
        <v>0</v>
      </c>
      <c r="DI601">
        <v>0</v>
      </c>
    </row>
    <row r="602" spans="1:113" x14ac:dyDescent="0.3">
      <c r="A602" t="str">
        <f>"09/28/2021 13:55:29.966"</f>
        <v>09/28/2021 13:55:29.966</v>
      </c>
      <c r="C602" t="str">
        <f t="shared" si="29"/>
        <v>FFDFD3C0</v>
      </c>
      <c r="D602" t="s">
        <v>120</v>
      </c>
      <c r="E602">
        <v>12</v>
      </c>
      <c r="F602">
        <v>1012</v>
      </c>
      <c r="G602" t="s">
        <v>114</v>
      </c>
      <c r="J602" t="s">
        <v>121</v>
      </c>
      <c r="K602">
        <v>0</v>
      </c>
      <c r="L602">
        <v>3</v>
      </c>
      <c r="M602">
        <v>0</v>
      </c>
      <c r="N602">
        <v>2</v>
      </c>
      <c r="O602">
        <v>1</v>
      </c>
      <c r="P602">
        <v>0</v>
      </c>
      <c r="Q602">
        <v>0</v>
      </c>
      <c r="S602" t="str">
        <f>"13:55:29.711"</f>
        <v>13:55:29.711</v>
      </c>
      <c r="T602" t="str">
        <f>"13:55:29.211"</f>
        <v>13:55:29.211</v>
      </c>
      <c r="U602" t="str">
        <f t="shared" si="31"/>
        <v>A92BC1</v>
      </c>
      <c r="V602">
        <v>0</v>
      </c>
      <c r="W602">
        <v>0</v>
      </c>
      <c r="X602">
        <v>2</v>
      </c>
      <c r="Z602">
        <v>0</v>
      </c>
      <c r="AA602">
        <v>9</v>
      </c>
      <c r="AB602">
        <v>3</v>
      </c>
      <c r="AC602">
        <v>0</v>
      </c>
      <c r="AD602">
        <v>10</v>
      </c>
      <c r="AE602">
        <v>0</v>
      </c>
      <c r="AF602">
        <v>3</v>
      </c>
      <c r="AG602">
        <v>2</v>
      </c>
      <c r="AH602">
        <v>0</v>
      </c>
      <c r="AI602" t="s">
        <v>702</v>
      </c>
      <c r="AJ602">
        <v>45.772626000000002</v>
      </c>
      <c r="AK602" t="s">
        <v>703</v>
      </c>
      <c r="AL602">
        <v>-89.311573999999993</v>
      </c>
      <c r="AM602">
        <v>100</v>
      </c>
      <c r="AN602">
        <v>11600</v>
      </c>
      <c r="AO602" t="s">
        <v>118</v>
      </c>
      <c r="AP602">
        <v>125</v>
      </c>
      <c r="AQ602">
        <v>101</v>
      </c>
      <c r="AR602">
        <v>1664</v>
      </c>
      <c r="AZ602">
        <v>1200</v>
      </c>
      <c r="BA602">
        <v>1</v>
      </c>
      <c r="BB602" t="str">
        <f t="shared" si="30"/>
        <v xml:space="preserve">N690LS  </v>
      </c>
      <c r="BC602">
        <v>1</v>
      </c>
      <c r="BE602">
        <v>0</v>
      </c>
      <c r="BF602">
        <v>0</v>
      </c>
      <c r="BG602">
        <v>0</v>
      </c>
      <c r="BH602">
        <v>11925</v>
      </c>
      <c r="BI602">
        <v>1</v>
      </c>
      <c r="BJ602">
        <v>1</v>
      </c>
      <c r="BK602">
        <v>1</v>
      </c>
      <c r="BL602">
        <v>0</v>
      </c>
      <c r="BO602">
        <v>0</v>
      </c>
      <c r="BP602">
        <v>0</v>
      </c>
      <c r="BW602" t="str">
        <f>"13:55:29.717"</f>
        <v>13:55:29.717</v>
      </c>
      <c r="CJ602">
        <v>0</v>
      </c>
      <c r="CK602">
        <v>2</v>
      </c>
      <c r="CL602">
        <v>0</v>
      </c>
      <c r="CM602">
        <v>2</v>
      </c>
      <c r="CN602">
        <v>0</v>
      </c>
      <c r="CO602">
        <v>7</v>
      </c>
      <c r="CP602" t="s">
        <v>119</v>
      </c>
      <c r="CQ602">
        <v>197</v>
      </c>
      <c r="CR602">
        <v>2</v>
      </c>
      <c r="CW602">
        <v>2356508</v>
      </c>
      <c r="CY602">
        <v>1</v>
      </c>
      <c r="CZ602">
        <v>0</v>
      </c>
      <c r="DA602">
        <v>1</v>
      </c>
      <c r="DB602">
        <v>0</v>
      </c>
      <c r="DC602">
        <v>0</v>
      </c>
      <c r="DD602">
        <v>1</v>
      </c>
      <c r="DE602">
        <v>0</v>
      </c>
      <c r="DF602">
        <v>0</v>
      </c>
      <c r="DG602">
        <v>0</v>
      </c>
      <c r="DH602">
        <v>0</v>
      </c>
      <c r="DI602">
        <v>0</v>
      </c>
    </row>
    <row r="603" spans="1:113" x14ac:dyDescent="0.3">
      <c r="A603" t="str">
        <f>"09/28/2021 13:55:30.888"</f>
        <v>09/28/2021 13:55:30.888</v>
      </c>
      <c r="C603" t="str">
        <f t="shared" si="29"/>
        <v>FFDFD3C0</v>
      </c>
      <c r="D603" t="s">
        <v>113</v>
      </c>
      <c r="E603">
        <v>7</v>
      </c>
      <c r="H603">
        <v>170</v>
      </c>
      <c r="I603" t="s">
        <v>114</v>
      </c>
      <c r="J603" t="s">
        <v>115</v>
      </c>
      <c r="K603">
        <v>0</v>
      </c>
      <c r="L603">
        <v>3</v>
      </c>
      <c r="M603">
        <v>0</v>
      </c>
      <c r="N603">
        <v>2</v>
      </c>
      <c r="O603">
        <v>1</v>
      </c>
      <c r="P603">
        <v>0</v>
      </c>
      <c r="Q603">
        <v>0</v>
      </c>
      <c r="S603" t="str">
        <f>"13:55:30.695"</f>
        <v>13:55:30.695</v>
      </c>
      <c r="T603" t="str">
        <f>"13:55:30.295"</f>
        <v>13:55:30.295</v>
      </c>
      <c r="U603" t="str">
        <f t="shared" si="31"/>
        <v>A92BC1</v>
      </c>
      <c r="V603">
        <v>0</v>
      </c>
      <c r="W603">
        <v>0</v>
      </c>
      <c r="X603">
        <v>2</v>
      </c>
      <c r="Z603">
        <v>0</v>
      </c>
      <c r="AA603">
        <v>9</v>
      </c>
      <c r="AB603">
        <v>3</v>
      </c>
      <c r="AC603">
        <v>0</v>
      </c>
      <c r="AD603">
        <v>10</v>
      </c>
      <c r="AE603">
        <v>0</v>
      </c>
      <c r="AF603">
        <v>3</v>
      </c>
      <c r="AG603">
        <v>2</v>
      </c>
      <c r="AH603">
        <v>0</v>
      </c>
      <c r="AI603" t="s">
        <v>704</v>
      </c>
      <c r="AJ603">
        <v>45.773097999999997</v>
      </c>
      <c r="AK603" t="s">
        <v>705</v>
      </c>
      <c r="AL603">
        <v>-89.310737000000003</v>
      </c>
      <c r="AM603">
        <v>100</v>
      </c>
      <c r="AN603">
        <v>11600</v>
      </c>
      <c r="AO603" t="s">
        <v>118</v>
      </c>
      <c r="AP603">
        <v>125</v>
      </c>
      <c r="AQ603">
        <v>101</v>
      </c>
      <c r="AR603">
        <v>1536</v>
      </c>
      <c r="AZ603">
        <v>1200</v>
      </c>
      <c r="BA603">
        <v>1</v>
      </c>
      <c r="BB603" t="str">
        <f t="shared" si="30"/>
        <v xml:space="preserve">N690LS  </v>
      </c>
      <c r="BC603">
        <v>1</v>
      </c>
      <c r="BE603">
        <v>0</v>
      </c>
      <c r="BF603">
        <v>0</v>
      </c>
      <c r="BG603">
        <v>0</v>
      </c>
      <c r="BH603">
        <v>11950</v>
      </c>
      <c r="BI603">
        <v>1</v>
      </c>
      <c r="BJ603">
        <v>1</v>
      </c>
      <c r="BK603">
        <v>1</v>
      </c>
      <c r="BL603">
        <v>0</v>
      </c>
      <c r="BO603">
        <v>0</v>
      </c>
      <c r="BP603">
        <v>0</v>
      </c>
      <c r="BW603" t="str">
        <f>"13:55:30.700"</f>
        <v>13:55:30.700</v>
      </c>
      <c r="CJ603">
        <v>0</v>
      </c>
      <c r="CK603">
        <v>2</v>
      </c>
      <c r="CL603">
        <v>0</v>
      </c>
      <c r="CM603">
        <v>2</v>
      </c>
      <c r="CN603">
        <v>0</v>
      </c>
      <c r="CO603">
        <v>7</v>
      </c>
      <c r="CP603" t="s">
        <v>119</v>
      </c>
      <c r="CQ603">
        <v>197</v>
      </c>
      <c r="CR603">
        <v>1</v>
      </c>
      <c r="CW603">
        <v>7291286</v>
      </c>
      <c r="CY603">
        <v>1</v>
      </c>
      <c r="CZ603">
        <v>0</v>
      </c>
      <c r="DA603">
        <v>0</v>
      </c>
      <c r="DB603">
        <v>0</v>
      </c>
      <c r="DC603">
        <v>0</v>
      </c>
      <c r="DD603">
        <v>1</v>
      </c>
      <c r="DE603">
        <v>0</v>
      </c>
      <c r="DF603">
        <v>0</v>
      </c>
      <c r="DG603">
        <v>0</v>
      </c>
      <c r="DH603">
        <v>0</v>
      </c>
      <c r="DI603">
        <v>0</v>
      </c>
    </row>
    <row r="604" spans="1:113" x14ac:dyDescent="0.3">
      <c r="A604" t="str">
        <f>"09/28/2021 13:55:30.888"</f>
        <v>09/28/2021 13:55:30.888</v>
      </c>
      <c r="C604" t="str">
        <f t="shared" si="29"/>
        <v>FFDFD3C0</v>
      </c>
      <c r="D604" t="s">
        <v>120</v>
      </c>
      <c r="E604">
        <v>12</v>
      </c>
      <c r="F604">
        <v>1012</v>
      </c>
      <c r="G604" t="s">
        <v>114</v>
      </c>
      <c r="J604" t="s">
        <v>121</v>
      </c>
      <c r="K604">
        <v>0</v>
      </c>
      <c r="L604">
        <v>3</v>
      </c>
      <c r="M604">
        <v>0</v>
      </c>
      <c r="N604">
        <v>2</v>
      </c>
      <c r="O604">
        <v>1</v>
      </c>
      <c r="P604">
        <v>0</v>
      </c>
      <c r="Q604">
        <v>0</v>
      </c>
      <c r="S604" t="str">
        <f>"13:55:30.695"</f>
        <v>13:55:30.695</v>
      </c>
      <c r="T604" t="str">
        <f>"13:55:30.295"</f>
        <v>13:55:30.295</v>
      </c>
      <c r="U604" t="str">
        <f t="shared" si="31"/>
        <v>A92BC1</v>
      </c>
      <c r="V604">
        <v>0</v>
      </c>
      <c r="W604">
        <v>0</v>
      </c>
      <c r="X604">
        <v>2</v>
      </c>
      <c r="Z604">
        <v>0</v>
      </c>
      <c r="AA604">
        <v>9</v>
      </c>
      <c r="AB604">
        <v>3</v>
      </c>
      <c r="AC604">
        <v>0</v>
      </c>
      <c r="AD604">
        <v>10</v>
      </c>
      <c r="AE604">
        <v>0</v>
      </c>
      <c r="AF604">
        <v>3</v>
      </c>
      <c r="AG604">
        <v>2</v>
      </c>
      <c r="AH604">
        <v>0</v>
      </c>
      <c r="AI604" t="s">
        <v>704</v>
      </c>
      <c r="AJ604">
        <v>45.773097999999997</v>
      </c>
      <c r="AK604" t="s">
        <v>705</v>
      </c>
      <c r="AL604">
        <v>-89.310737000000003</v>
      </c>
      <c r="AM604">
        <v>100</v>
      </c>
      <c r="AN604">
        <v>11600</v>
      </c>
      <c r="AO604" t="s">
        <v>118</v>
      </c>
      <c r="AP604">
        <v>125</v>
      </c>
      <c r="AQ604">
        <v>101</v>
      </c>
      <c r="AR604">
        <v>1536</v>
      </c>
      <c r="AZ604">
        <v>1200</v>
      </c>
      <c r="BA604">
        <v>1</v>
      </c>
      <c r="BB604" t="str">
        <f t="shared" si="30"/>
        <v xml:space="preserve">N690LS  </v>
      </c>
      <c r="BC604">
        <v>1</v>
      </c>
      <c r="BE604">
        <v>0</v>
      </c>
      <c r="BF604">
        <v>0</v>
      </c>
      <c r="BG604">
        <v>0</v>
      </c>
      <c r="BH604">
        <v>11950</v>
      </c>
      <c r="BI604">
        <v>1</v>
      </c>
      <c r="BJ604">
        <v>1</v>
      </c>
      <c r="BK604">
        <v>1</v>
      </c>
      <c r="BL604">
        <v>0</v>
      </c>
      <c r="BO604">
        <v>0</v>
      </c>
      <c r="BP604">
        <v>0</v>
      </c>
      <c r="BW604" t="str">
        <f>"13:55:30.700"</f>
        <v>13:55:30.700</v>
      </c>
      <c r="CJ604">
        <v>0</v>
      </c>
      <c r="CK604">
        <v>2</v>
      </c>
      <c r="CL604">
        <v>0</v>
      </c>
      <c r="CM604">
        <v>2</v>
      </c>
      <c r="CN604">
        <v>0</v>
      </c>
      <c r="CO604">
        <v>7</v>
      </c>
      <c r="CP604" t="s">
        <v>119</v>
      </c>
      <c r="CQ604">
        <v>197</v>
      </c>
      <c r="CR604">
        <v>1</v>
      </c>
      <c r="CW604">
        <v>7291286</v>
      </c>
      <c r="CY604">
        <v>1</v>
      </c>
      <c r="CZ604">
        <v>0</v>
      </c>
      <c r="DA604">
        <v>1</v>
      </c>
      <c r="DB604">
        <v>0</v>
      </c>
      <c r="DC604">
        <v>0</v>
      </c>
      <c r="DD604">
        <v>1</v>
      </c>
      <c r="DE604">
        <v>0</v>
      </c>
      <c r="DF604">
        <v>0</v>
      </c>
      <c r="DG604">
        <v>0</v>
      </c>
      <c r="DH604">
        <v>0</v>
      </c>
      <c r="DI604">
        <v>0</v>
      </c>
    </row>
    <row r="605" spans="1:113" x14ac:dyDescent="0.3">
      <c r="A605" t="str">
        <f>"09/28/2021 13:55:32.043"</f>
        <v>09/28/2021 13:55:32.043</v>
      </c>
      <c r="C605" t="str">
        <f t="shared" si="29"/>
        <v>FFDFD3C0</v>
      </c>
      <c r="D605" t="s">
        <v>113</v>
      </c>
      <c r="E605">
        <v>7</v>
      </c>
      <c r="H605">
        <v>170</v>
      </c>
      <c r="I605" t="s">
        <v>114</v>
      </c>
      <c r="J605" t="s">
        <v>115</v>
      </c>
      <c r="K605">
        <v>0</v>
      </c>
      <c r="L605">
        <v>3</v>
      </c>
      <c r="M605">
        <v>0</v>
      </c>
      <c r="N605">
        <v>2</v>
      </c>
      <c r="O605">
        <v>1</v>
      </c>
      <c r="P605">
        <v>0</v>
      </c>
      <c r="Q605">
        <v>0</v>
      </c>
      <c r="S605" t="str">
        <f>"13:55:31.844"</f>
        <v>13:55:31.844</v>
      </c>
      <c r="T605" t="str">
        <f>"13:55:31.344"</f>
        <v>13:55:31.344</v>
      </c>
      <c r="U605" t="str">
        <f t="shared" si="31"/>
        <v>A92BC1</v>
      </c>
      <c r="V605">
        <v>0</v>
      </c>
      <c r="W605">
        <v>0</v>
      </c>
      <c r="X605">
        <v>2</v>
      </c>
      <c r="Z605">
        <v>0</v>
      </c>
      <c r="AA605">
        <v>9</v>
      </c>
      <c r="AB605">
        <v>3</v>
      </c>
      <c r="AC605">
        <v>0</v>
      </c>
      <c r="AD605">
        <v>10</v>
      </c>
      <c r="AE605">
        <v>0</v>
      </c>
      <c r="AF605">
        <v>3</v>
      </c>
      <c r="AG605">
        <v>2</v>
      </c>
      <c r="AH605">
        <v>0</v>
      </c>
      <c r="AI605" t="s">
        <v>706</v>
      </c>
      <c r="AJ605">
        <v>45.773656000000003</v>
      </c>
      <c r="AK605" t="s">
        <v>707</v>
      </c>
      <c r="AL605">
        <v>-89.309707000000003</v>
      </c>
      <c r="AM605">
        <v>100</v>
      </c>
      <c r="AN605">
        <v>11600</v>
      </c>
      <c r="AO605" t="s">
        <v>118</v>
      </c>
      <c r="AP605">
        <v>126</v>
      </c>
      <c r="AQ605">
        <v>101</v>
      </c>
      <c r="AR605">
        <v>1408</v>
      </c>
      <c r="AZ605">
        <v>1200</v>
      </c>
      <c r="BA605">
        <v>1</v>
      </c>
      <c r="BB605" t="str">
        <f t="shared" si="30"/>
        <v xml:space="preserve">N690LS  </v>
      </c>
      <c r="BC605">
        <v>1</v>
      </c>
      <c r="BE605">
        <v>0</v>
      </c>
      <c r="BF605">
        <v>0</v>
      </c>
      <c r="BG605">
        <v>0</v>
      </c>
      <c r="BH605">
        <v>11975</v>
      </c>
      <c r="BI605">
        <v>1</v>
      </c>
      <c r="BJ605">
        <v>1</v>
      </c>
      <c r="BK605">
        <v>1</v>
      </c>
      <c r="BL605">
        <v>0</v>
      </c>
      <c r="BO605">
        <v>0</v>
      </c>
      <c r="BP605">
        <v>0</v>
      </c>
      <c r="BW605" t="str">
        <f>"13:55:31.849"</f>
        <v>13:55:31.849</v>
      </c>
      <c r="CJ605">
        <v>0</v>
      </c>
      <c r="CK605">
        <v>2</v>
      </c>
      <c r="CL605">
        <v>0</v>
      </c>
      <c r="CM605">
        <v>2</v>
      </c>
      <c r="CN605">
        <v>0</v>
      </c>
      <c r="CO605">
        <v>7</v>
      </c>
      <c r="CP605" t="s">
        <v>119</v>
      </c>
      <c r="CQ605">
        <v>197</v>
      </c>
      <c r="CR605">
        <v>2</v>
      </c>
      <c r="CW605">
        <v>2358284</v>
      </c>
      <c r="CY605">
        <v>1</v>
      </c>
      <c r="CZ605">
        <v>0</v>
      </c>
      <c r="DA605">
        <v>0</v>
      </c>
      <c r="DB605">
        <v>0</v>
      </c>
      <c r="DC605">
        <v>0</v>
      </c>
      <c r="DD605">
        <v>1</v>
      </c>
      <c r="DE605">
        <v>0</v>
      </c>
      <c r="DF605">
        <v>0</v>
      </c>
      <c r="DG605">
        <v>0</v>
      </c>
      <c r="DH605">
        <v>0</v>
      </c>
      <c r="DI605">
        <v>0</v>
      </c>
    </row>
    <row r="606" spans="1:113" x14ac:dyDescent="0.3">
      <c r="A606" t="str">
        <f>"09/28/2021 13:55:32.074"</f>
        <v>09/28/2021 13:55:32.074</v>
      </c>
      <c r="C606" t="str">
        <f t="shared" si="29"/>
        <v>FFDFD3C0</v>
      </c>
      <c r="D606" t="s">
        <v>120</v>
      </c>
      <c r="E606">
        <v>12</v>
      </c>
      <c r="F606">
        <v>1012</v>
      </c>
      <c r="G606" t="s">
        <v>114</v>
      </c>
      <c r="J606" t="s">
        <v>121</v>
      </c>
      <c r="K606">
        <v>0</v>
      </c>
      <c r="L606">
        <v>3</v>
      </c>
      <c r="M606">
        <v>0</v>
      </c>
      <c r="N606">
        <v>2</v>
      </c>
      <c r="O606">
        <v>1</v>
      </c>
      <c r="P606">
        <v>0</v>
      </c>
      <c r="Q606">
        <v>0</v>
      </c>
      <c r="S606" t="str">
        <f>"13:55:31.844"</f>
        <v>13:55:31.844</v>
      </c>
      <c r="T606" t="str">
        <f>"13:55:31.344"</f>
        <v>13:55:31.344</v>
      </c>
      <c r="U606" t="str">
        <f t="shared" si="31"/>
        <v>A92BC1</v>
      </c>
      <c r="V606">
        <v>0</v>
      </c>
      <c r="W606">
        <v>0</v>
      </c>
      <c r="X606">
        <v>2</v>
      </c>
      <c r="Z606">
        <v>0</v>
      </c>
      <c r="AA606">
        <v>9</v>
      </c>
      <c r="AB606">
        <v>3</v>
      </c>
      <c r="AC606">
        <v>0</v>
      </c>
      <c r="AD606">
        <v>10</v>
      </c>
      <c r="AE606">
        <v>0</v>
      </c>
      <c r="AF606">
        <v>3</v>
      </c>
      <c r="AG606">
        <v>2</v>
      </c>
      <c r="AH606">
        <v>0</v>
      </c>
      <c r="AI606" t="s">
        <v>706</v>
      </c>
      <c r="AJ606">
        <v>45.773656000000003</v>
      </c>
      <c r="AK606" t="s">
        <v>707</v>
      </c>
      <c r="AL606">
        <v>-89.309707000000003</v>
      </c>
      <c r="AM606">
        <v>100</v>
      </c>
      <c r="AN606">
        <v>11600</v>
      </c>
      <c r="AO606" t="s">
        <v>118</v>
      </c>
      <c r="AP606">
        <v>126</v>
      </c>
      <c r="AQ606">
        <v>101</v>
      </c>
      <c r="AR606">
        <v>1408</v>
      </c>
      <c r="AZ606">
        <v>1200</v>
      </c>
      <c r="BA606">
        <v>1</v>
      </c>
      <c r="BB606" t="str">
        <f t="shared" si="30"/>
        <v xml:space="preserve">N690LS  </v>
      </c>
      <c r="BC606">
        <v>1</v>
      </c>
      <c r="BE606">
        <v>0</v>
      </c>
      <c r="BF606">
        <v>0</v>
      </c>
      <c r="BG606">
        <v>0</v>
      </c>
      <c r="BH606">
        <v>11975</v>
      </c>
      <c r="BI606">
        <v>1</v>
      </c>
      <c r="BJ606">
        <v>1</v>
      </c>
      <c r="BK606">
        <v>1</v>
      </c>
      <c r="BL606">
        <v>0</v>
      </c>
      <c r="BO606">
        <v>0</v>
      </c>
      <c r="BP606">
        <v>0</v>
      </c>
      <c r="BW606" t="str">
        <f>"13:55:31.849"</f>
        <v>13:55:31.849</v>
      </c>
      <c r="CJ606">
        <v>0</v>
      </c>
      <c r="CK606">
        <v>2</v>
      </c>
      <c r="CL606">
        <v>0</v>
      </c>
      <c r="CM606">
        <v>2</v>
      </c>
      <c r="CN606">
        <v>0</v>
      </c>
      <c r="CO606">
        <v>7</v>
      </c>
      <c r="CP606" t="s">
        <v>119</v>
      </c>
      <c r="CQ606">
        <v>197</v>
      </c>
      <c r="CR606">
        <v>2</v>
      </c>
      <c r="CW606">
        <v>2358284</v>
      </c>
      <c r="CY606">
        <v>1</v>
      </c>
      <c r="CZ606">
        <v>0</v>
      </c>
      <c r="DA606">
        <v>1</v>
      </c>
      <c r="DB606">
        <v>0</v>
      </c>
      <c r="DC606">
        <v>0</v>
      </c>
      <c r="DD606">
        <v>1</v>
      </c>
      <c r="DE606">
        <v>0</v>
      </c>
      <c r="DF606">
        <v>0</v>
      </c>
      <c r="DG606">
        <v>0</v>
      </c>
      <c r="DH606">
        <v>0</v>
      </c>
      <c r="DI606">
        <v>0</v>
      </c>
    </row>
    <row r="607" spans="1:113" x14ac:dyDescent="0.3">
      <c r="A607" t="str">
        <f>"09/28/2021 13:55:33.076"</f>
        <v>09/28/2021 13:55:33.076</v>
      </c>
      <c r="C607" t="str">
        <f t="shared" si="29"/>
        <v>FFDFD3C0</v>
      </c>
      <c r="D607" t="s">
        <v>113</v>
      </c>
      <c r="E607">
        <v>7</v>
      </c>
      <c r="H607">
        <v>170</v>
      </c>
      <c r="I607" t="s">
        <v>114</v>
      </c>
      <c r="J607" t="s">
        <v>115</v>
      </c>
      <c r="K607">
        <v>0</v>
      </c>
      <c r="L607">
        <v>3</v>
      </c>
      <c r="M607">
        <v>0</v>
      </c>
      <c r="N607">
        <v>2</v>
      </c>
      <c r="O607">
        <v>1</v>
      </c>
      <c r="P607">
        <v>0</v>
      </c>
      <c r="Q607">
        <v>0</v>
      </c>
      <c r="S607" t="str">
        <f>"13:55:32.859"</f>
        <v>13:55:32.859</v>
      </c>
      <c r="T607" t="str">
        <f>"13:55:32.359"</f>
        <v>13:55:32.359</v>
      </c>
      <c r="U607" t="str">
        <f t="shared" si="31"/>
        <v>A92BC1</v>
      </c>
      <c r="V607">
        <v>0</v>
      </c>
      <c r="W607">
        <v>0</v>
      </c>
      <c r="X607">
        <v>2</v>
      </c>
      <c r="Z607">
        <v>0</v>
      </c>
      <c r="AA607">
        <v>9</v>
      </c>
      <c r="AB607">
        <v>3</v>
      </c>
      <c r="AC607">
        <v>0</v>
      </c>
      <c r="AD607">
        <v>10</v>
      </c>
      <c r="AE607">
        <v>0</v>
      </c>
      <c r="AF607">
        <v>3</v>
      </c>
      <c r="AG607">
        <v>2</v>
      </c>
      <c r="AH607">
        <v>0</v>
      </c>
      <c r="AI607" t="s">
        <v>708</v>
      </c>
      <c r="AJ607">
        <v>45.774107000000001</v>
      </c>
      <c r="AK607" t="s">
        <v>709</v>
      </c>
      <c r="AL607">
        <v>-89.308891000000003</v>
      </c>
      <c r="AM607">
        <v>100</v>
      </c>
      <c r="AN607">
        <v>11600</v>
      </c>
      <c r="AO607" t="s">
        <v>118</v>
      </c>
      <c r="AP607">
        <v>126</v>
      </c>
      <c r="AQ607">
        <v>102</v>
      </c>
      <c r="AR607">
        <v>1344</v>
      </c>
      <c r="AZ607">
        <v>1200</v>
      </c>
      <c r="BA607">
        <v>1</v>
      </c>
      <c r="BB607" t="str">
        <f t="shared" si="30"/>
        <v xml:space="preserve">N690LS  </v>
      </c>
      <c r="BC607">
        <v>1</v>
      </c>
      <c r="BE607">
        <v>0</v>
      </c>
      <c r="BF607">
        <v>0</v>
      </c>
      <c r="BG607">
        <v>0</v>
      </c>
      <c r="BH607">
        <v>12000</v>
      </c>
      <c r="BI607">
        <v>1</v>
      </c>
      <c r="BJ607">
        <v>1</v>
      </c>
      <c r="BK607">
        <v>1</v>
      </c>
      <c r="BL607">
        <v>0</v>
      </c>
      <c r="BO607">
        <v>0</v>
      </c>
      <c r="BP607">
        <v>0</v>
      </c>
      <c r="BW607" t="str">
        <f>"13:55:32.866"</f>
        <v>13:55:32.866</v>
      </c>
      <c r="CJ607">
        <v>0</v>
      </c>
      <c r="CK607">
        <v>2</v>
      </c>
      <c r="CL607">
        <v>0</v>
      </c>
      <c r="CM607">
        <v>2</v>
      </c>
      <c r="CN607">
        <v>0</v>
      </c>
      <c r="CO607">
        <v>7</v>
      </c>
      <c r="CP607" t="s">
        <v>119</v>
      </c>
      <c r="CQ607">
        <v>197</v>
      </c>
      <c r="CR607">
        <v>2</v>
      </c>
      <c r="CW607">
        <v>2359158</v>
      </c>
      <c r="CY607">
        <v>1</v>
      </c>
      <c r="CZ607">
        <v>0</v>
      </c>
      <c r="DA607">
        <v>0</v>
      </c>
      <c r="DB607">
        <v>0</v>
      </c>
      <c r="DC607">
        <v>0</v>
      </c>
      <c r="DD607">
        <v>1</v>
      </c>
      <c r="DE607">
        <v>0</v>
      </c>
      <c r="DF607">
        <v>0</v>
      </c>
      <c r="DG607">
        <v>0</v>
      </c>
      <c r="DH607">
        <v>0</v>
      </c>
      <c r="DI607">
        <v>0</v>
      </c>
    </row>
    <row r="608" spans="1:113" x14ac:dyDescent="0.3">
      <c r="A608" t="str">
        <f>"09/28/2021 13:55:33.076"</f>
        <v>09/28/2021 13:55:33.076</v>
      </c>
      <c r="C608" t="str">
        <f t="shared" si="29"/>
        <v>FFDFD3C0</v>
      </c>
      <c r="D608" t="s">
        <v>120</v>
      </c>
      <c r="E608">
        <v>12</v>
      </c>
      <c r="F608">
        <v>1012</v>
      </c>
      <c r="G608" t="s">
        <v>114</v>
      </c>
      <c r="J608" t="s">
        <v>121</v>
      </c>
      <c r="K608">
        <v>0</v>
      </c>
      <c r="L608">
        <v>3</v>
      </c>
      <c r="M608">
        <v>0</v>
      </c>
      <c r="N608">
        <v>2</v>
      </c>
      <c r="O608">
        <v>1</v>
      </c>
      <c r="P608">
        <v>0</v>
      </c>
      <c r="Q608">
        <v>0</v>
      </c>
      <c r="S608" t="str">
        <f>"13:55:32.859"</f>
        <v>13:55:32.859</v>
      </c>
      <c r="T608" t="str">
        <f>"13:55:32.359"</f>
        <v>13:55:32.359</v>
      </c>
      <c r="U608" t="str">
        <f t="shared" si="31"/>
        <v>A92BC1</v>
      </c>
      <c r="V608">
        <v>0</v>
      </c>
      <c r="W608">
        <v>0</v>
      </c>
      <c r="X608">
        <v>2</v>
      </c>
      <c r="Z608">
        <v>0</v>
      </c>
      <c r="AA608">
        <v>9</v>
      </c>
      <c r="AB608">
        <v>3</v>
      </c>
      <c r="AC608">
        <v>0</v>
      </c>
      <c r="AD608">
        <v>10</v>
      </c>
      <c r="AE608">
        <v>0</v>
      </c>
      <c r="AF608">
        <v>3</v>
      </c>
      <c r="AG608">
        <v>2</v>
      </c>
      <c r="AH608">
        <v>0</v>
      </c>
      <c r="AI608" t="s">
        <v>708</v>
      </c>
      <c r="AJ608">
        <v>45.774107000000001</v>
      </c>
      <c r="AK608" t="s">
        <v>709</v>
      </c>
      <c r="AL608">
        <v>-89.308891000000003</v>
      </c>
      <c r="AM608">
        <v>100</v>
      </c>
      <c r="AN608">
        <v>11600</v>
      </c>
      <c r="AO608" t="s">
        <v>118</v>
      </c>
      <c r="AP608">
        <v>126</v>
      </c>
      <c r="AQ608">
        <v>102</v>
      </c>
      <c r="AR608">
        <v>1344</v>
      </c>
      <c r="AZ608">
        <v>1200</v>
      </c>
      <c r="BA608">
        <v>1</v>
      </c>
      <c r="BB608" t="str">
        <f t="shared" si="30"/>
        <v xml:space="preserve">N690LS  </v>
      </c>
      <c r="BC608">
        <v>1</v>
      </c>
      <c r="BE608">
        <v>0</v>
      </c>
      <c r="BF608">
        <v>0</v>
      </c>
      <c r="BG608">
        <v>0</v>
      </c>
      <c r="BH608">
        <v>12000</v>
      </c>
      <c r="BI608">
        <v>1</v>
      </c>
      <c r="BJ608">
        <v>1</v>
      </c>
      <c r="BK608">
        <v>1</v>
      </c>
      <c r="BL608">
        <v>0</v>
      </c>
      <c r="BO608">
        <v>0</v>
      </c>
      <c r="BP608">
        <v>0</v>
      </c>
      <c r="BW608" t="str">
        <f>"13:55:32.866"</f>
        <v>13:55:32.866</v>
      </c>
      <c r="CJ608">
        <v>0</v>
      </c>
      <c r="CK608">
        <v>2</v>
      </c>
      <c r="CL608">
        <v>0</v>
      </c>
      <c r="CM608">
        <v>2</v>
      </c>
      <c r="CN608">
        <v>0</v>
      </c>
      <c r="CO608">
        <v>7</v>
      </c>
      <c r="CP608" t="s">
        <v>119</v>
      </c>
      <c r="CQ608">
        <v>197</v>
      </c>
      <c r="CR608">
        <v>2</v>
      </c>
      <c r="CW608">
        <v>2359158</v>
      </c>
      <c r="CY608">
        <v>1</v>
      </c>
      <c r="CZ608">
        <v>0</v>
      </c>
      <c r="DA608">
        <v>1</v>
      </c>
      <c r="DB608">
        <v>0</v>
      </c>
      <c r="DC608">
        <v>0</v>
      </c>
      <c r="DD608">
        <v>1</v>
      </c>
      <c r="DE608">
        <v>0</v>
      </c>
      <c r="DF608">
        <v>0</v>
      </c>
      <c r="DG608">
        <v>0</v>
      </c>
      <c r="DH608">
        <v>0</v>
      </c>
      <c r="DI608">
        <v>0</v>
      </c>
    </row>
    <row r="609" spans="1:113" x14ac:dyDescent="0.3">
      <c r="A609" t="str">
        <f>"09/28/2021 13:55:33.952"</f>
        <v>09/28/2021 13:55:33.952</v>
      </c>
      <c r="C609" t="str">
        <f t="shared" si="29"/>
        <v>FFDFD3C0</v>
      </c>
      <c r="D609" t="s">
        <v>113</v>
      </c>
      <c r="E609">
        <v>7</v>
      </c>
      <c r="H609">
        <v>170</v>
      </c>
      <c r="I609" t="s">
        <v>114</v>
      </c>
      <c r="J609" t="s">
        <v>115</v>
      </c>
      <c r="K609">
        <v>0</v>
      </c>
      <c r="L609">
        <v>3</v>
      </c>
      <c r="M609">
        <v>0</v>
      </c>
      <c r="N609">
        <v>2</v>
      </c>
      <c r="O609">
        <v>1</v>
      </c>
      <c r="P609">
        <v>0</v>
      </c>
      <c r="Q609">
        <v>0</v>
      </c>
      <c r="S609" t="str">
        <f>"13:55:33.727"</f>
        <v>13:55:33.727</v>
      </c>
      <c r="T609" t="str">
        <f>"13:55:33.327"</f>
        <v>13:55:33.327</v>
      </c>
      <c r="U609" t="str">
        <f t="shared" si="31"/>
        <v>A92BC1</v>
      </c>
      <c r="V609">
        <v>0</v>
      </c>
      <c r="W609">
        <v>0</v>
      </c>
      <c r="X609">
        <v>2</v>
      </c>
      <c r="Z609">
        <v>0</v>
      </c>
      <c r="AA609">
        <v>9</v>
      </c>
      <c r="AB609">
        <v>3</v>
      </c>
      <c r="AC609">
        <v>0</v>
      </c>
      <c r="AD609">
        <v>10</v>
      </c>
      <c r="AE609">
        <v>0</v>
      </c>
      <c r="AF609">
        <v>3</v>
      </c>
      <c r="AG609">
        <v>2</v>
      </c>
      <c r="AH609">
        <v>0</v>
      </c>
      <c r="AI609" t="s">
        <v>710</v>
      </c>
      <c r="AJ609">
        <v>45.774535999999998</v>
      </c>
      <c r="AK609" t="s">
        <v>711</v>
      </c>
      <c r="AL609">
        <v>-89.308119000000005</v>
      </c>
      <c r="AM609">
        <v>100</v>
      </c>
      <c r="AN609">
        <v>11700</v>
      </c>
      <c r="AO609" t="s">
        <v>118</v>
      </c>
      <c r="AP609">
        <v>127</v>
      </c>
      <c r="AQ609">
        <v>102</v>
      </c>
      <c r="AR609">
        <v>1344</v>
      </c>
      <c r="AZ609">
        <v>1200</v>
      </c>
      <c r="BA609">
        <v>1</v>
      </c>
      <c r="BB609" t="str">
        <f t="shared" si="30"/>
        <v xml:space="preserve">N690LS  </v>
      </c>
      <c r="BC609">
        <v>1</v>
      </c>
      <c r="BE609">
        <v>0</v>
      </c>
      <c r="BF609">
        <v>0</v>
      </c>
      <c r="BG609">
        <v>0</v>
      </c>
      <c r="BH609">
        <v>12025</v>
      </c>
      <c r="BI609">
        <v>1</v>
      </c>
      <c r="BJ609">
        <v>1</v>
      </c>
      <c r="BK609">
        <v>1</v>
      </c>
      <c r="BL609">
        <v>0</v>
      </c>
      <c r="BO609">
        <v>0</v>
      </c>
      <c r="BP609">
        <v>0</v>
      </c>
      <c r="BW609" t="str">
        <f>"13:55:33.731"</f>
        <v>13:55:33.731</v>
      </c>
      <c r="CJ609">
        <v>0</v>
      </c>
      <c r="CK609">
        <v>2</v>
      </c>
      <c r="CL609">
        <v>0</v>
      </c>
      <c r="CM609">
        <v>2</v>
      </c>
      <c r="CN609">
        <v>0</v>
      </c>
      <c r="CO609">
        <v>7</v>
      </c>
      <c r="CP609" t="s">
        <v>119</v>
      </c>
      <c r="CQ609">
        <v>197</v>
      </c>
      <c r="CR609">
        <v>2</v>
      </c>
      <c r="CW609">
        <v>2359912</v>
      </c>
      <c r="CY609">
        <v>1</v>
      </c>
      <c r="CZ609">
        <v>0</v>
      </c>
      <c r="DA609">
        <v>0</v>
      </c>
      <c r="DB609">
        <v>0</v>
      </c>
      <c r="DC609">
        <v>0</v>
      </c>
      <c r="DD609">
        <v>1</v>
      </c>
      <c r="DE609">
        <v>0</v>
      </c>
      <c r="DF609">
        <v>0</v>
      </c>
      <c r="DG609">
        <v>0</v>
      </c>
      <c r="DH609">
        <v>0</v>
      </c>
      <c r="DI609">
        <v>0</v>
      </c>
    </row>
    <row r="610" spans="1:113" x14ac:dyDescent="0.3">
      <c r="A610" t="str">
        <f>"09/28/2021 13:55:33.952"</f>
        <v>09/28/2021 13:55:33.952</v>
      </c>
      <c r="C610" t="str">
        <f t="shared" si="29"/>
        <v>FFDFD3C0</v>
      </c>
      <c r="D610" t="s">
        <v>120</v>
      </c>
      <c r="E610">
        <v>12</v>
      </c>
      <c r="F610">
        <v>1012</v>
      </c>
      <c r="G610" t="s">
        <v>114</v>
      </c>
      <c r="J610" t="s">
        <v>121</v>
      </c>
      <c r="K610">
        <v>0</v>
      </c>
      <c r="L610">
        <v>3</v>
      </c>
      <c r="M610">
        <v>0</v>
      </c>
      <c r="N610">
        <v>2</v>
      </c>
      <c r="O610">
        <v>1</v>
      </c>
      <c r="P610">
        <v>0</v>
      </c>
      <c r="Q610">
        <v>0</v>
      </c>
      <c r="S610" t="str">
        <f>"13:55:33.727"</f>
        <v>13:55:33.727</v>
      </c>
      <c r="T610" t="str">
        <f>"13:55:33.327"</f>
        <v>13:55:33.327</v>
      </c>
      <c r="U610" t="str">
        <f t="shared" si="31"/>
        <v>A92BC1</v>
      </c>
      <c r="V610">
        <v>0</v>
      </c>
      <c r="W610">
        <v>0</v>
      </c>
      <c r="X610">
        <v>2</v>
      </c>
      <c r="Z610">
        <v>0</v>
      </c>
      <c r="AA610">
        <v>9</v>
      </c>
      <c r="AB610">
        <v>3</v>
      </c>
      <c r="AC610">
        <v>0</v>
      </c>
      <c r="AD610">
        <v>10</v>
      </c>
      <c r="AE610">
        <v>0</v>
      </c>
      <c r="AF610">
        <v>3</v>
      </c>
      <c r="AG610">
        <v>2</v>
      </c>
      <c r="AH610">
        <v>0</v>
      </c>
      <c r="AI610" t="s">
        <v>710</v>
      </c>
      <c r="AJ610">
        <v>45.774535999999998</v>
      </c>
      <c r="AK610" t="s">
        <v>711</v>
      </c>
      <c r="AL610">
        <v>-89.308119000000005</v>
      </c>
      <c r="AM610">
        <v>100</v>
      </c>
      <c r="AN610">
        <v>11700</v>
      </c>
      <c r="AO610" t="s">
        <v>118</v>
      </c>
      <c r="AP610">
        <v>127</v>
      </c>
      <c r="AQ610">
        <v>102</v>
      </c>
      <c r="AR610">
        <v>1344</v>
      </c>
      <c r="AZ610">
        <v>1200</v>
      </c>
      <c r="BA610">
        <v>1</v>
      </c>
      <c r="BB610" t="str">
        <f t="shared" si="30"/>
        <v xml:space="preserve">N690LS  </v>
      </c>
      <c r="BC610">
        <v>1</v>
      </c>
      <c r="BE610">
        <v>0</v>
      </c>
      <c r="BF610">
        <v>0</v>
      </c>
      <c r="BG610">
        <v>0</v>
      </c>
      <c r="BH610">
        <v>12025</v>
      </c>
      <c r="BI610">
        <v>1</v>
      </c>
      <c r="BJ610">
        <v>1</v>
      </c>
      <c r="BK610">
        <v>1</v>
      </c>
      <c r="BL610">
        <v>0</v>
      </c>
      <c r="BO610">
        <v>0</v>
      </c>
      <c r="BP610">
        <v>0</v>
      </c>
      <c r="BW610" t="str">
        <f>"13:55:33.731"</f>
        <v>13:55:33.731</v>
      </c>
      <c r="CJ610">
        <v>0</v>
      </c>
      <c r="CK610">
        <v>2</v>
      </c>
      <c r="CL610">
        <v>0</v>
      </c>
      <c r="CM610">
        <v>2</v>
      </c>
      <c r="CN610">
        <v>0</v>
      </c>
      <c r="CO610">
        <v>7</v>
      </c>
      <c r="CP610" t="s">
        <v>119</v>
      </c>
      <c r="CQ610">
        <v>197</v>
      </c>
      <c r="CR610">
        <v>2</v>
      </c>
      <c r="CW610">
        <v>2359912</v>
      </c>
      <c r="CY610">
        <v>1</v>
      </c>
      <c r="CZ610">
        <v>0</v>
      </c>
      <c r="DA610">
        <v>1</v>
      </c>
      <c r="DB610">
        <v>0</v>
      </c>
      <c r="DC610">
        <v>0</v>
      </c>
      <c r="DD610">
        <v>1</v>
      </c>
      <c r="DE610">
        <v>0</v>
      </c>
      <c r="DF610">
        <v>0</v>
      </c>
      <c r="DG610">
        <v>0</v>
      </c>
      <c r="DH610">
        <v>0</v>
      </c>
      <c r="DI610">
        <v>0</v>
      </c>
    </row>
    <row r="611" spans="1:113" x14ac:dyDescent="0.3">
      <c r="A611" t="str">
        <f>"09/28/2021 13:55:34.952"</f>
        <v>09/28/2021 13:55:34.952</v>
      </c>
      <c r="C611" t="str">
        <f t="shared" si="29"/>
        <v>FFDFD3C0</v>
      </c>
      <c r="D611" t="s">
        <v>120</v>
      </c>
      <c r="E611">
        <v>12</v>
      </c>
      <c r="F611">
        <v>1012</v>
      </c>
      <c r="G611" t="s">
        <v>114</v>
      </c>
      <c r="J611" t="s">
        <v>121</v>
      </c>
      <c r="K611">
        <v>0</v>
      </c>
      <c r="L611">
        <v>3</v>
      </c>
      <c r="M611">
        <v>0</v>
      </c>
      <c r="N611">
        <v>2</v>
      </c>
      <c r="O611">
        <v>1</v>
      </c>
      <c r="P611">
        <v>0</v>
      </c>
      <c r="Q611">
        <v>0</v>
      </c>
      <c r="S611" t="str">
        <f>"13:55:34.703"</f>
        <v>13:55:34.703</v>
      </c>
      <c r="T611" t="str">
        <f>"13:55:34.303"</f>
        <v>13:55:34.303</v>
      </c>
      <c r="U611" t="str">
        <f t="shared" si="31"/>
        <v>A92BC1</v>
      </c>
      <c r="V611">
        <v>0</v>
      </c>
      <c r="W611">
        <v>0</v>
      </c>
      <c r="X611">
        <v>2</v>
      </c>
      <c r="Z611">
        <v>0</v>
      </c>
      <c r="AA611">
        <v>9</v>
      </c>
      <c r="AB611">
        <v>3</v>
      </c>
      <c r="AC611">
        <v>0</v>
      </c>
      <c r="AD611">
        <v>10</v>
      </c>
      <c r="AE611">
        <v>0</v>
      </c>
      <c r="AF611">
        <v>3</v>
      </c>
      <c r="AG611">
        <v>2</v>
      </c>
      <c r="AH611">
        <v>0</v>
      </c>
      <c r="AI611" t="s">
        <v>712</v>
      </c>
      <c r="AJ611">
        <v>45.775008</v>
      </c>
      <c r="AK611" t="s">
        <v>713</v>
      </c>
      <c r="AL611">
        <v>-89.307389000000001</v>
      </c>
      <c r="AM611">
        <v>100</v>
      </c>
      <c r="AN611">
        <v>11700</v>
      </c>
      <c r="AO611" t="s">
        <v>118</v>
      </c>
      <c r="AP611">
        <v>127</v>
      </c>
      <c r="AQ611">
        <v>102</v>
      </c>
      <c r="AR611">
        <v>1280</v>
      </c>
      <c r="AZ611">
        <v>1200</v>
      </c>
      <c r="BA611">
        <v>1</v>
      </c>
      <c r="BB611" t="str">
        <f t="shared" si="30"/>
        <v xml:space="preserve">N690LS  </v>
      </c>
      <c r="BC611">
        <v>1</v>
      </c>
      <c r="BE611">
        <v>0</v>
      </c>
      <c r="BF611">
        <v>0</v>
      </c>
      <c r="BG611">
        <v>0</v>
      </c>
      <c r="BH611">
        <v>12050</v>
      </c>
      <c r="BI611">
        <v>1</v>
      </c>
      <c r="BJ611">
        <v>1</v>
      </c>
      <c r="BK611">
        <v>1</v>
      </c>
      <c r="BL611">
        <v>0</v>
      </c>
      <c r="BO611">
        <v>0</v>
      </c>
      <c r="BP611">
        <v>0</v>
      </c>
      <c r="BW611" t="str">
        <f>"13:55:34.704"</f>
        <v>13:55:34.704</v>
      </c>
      <c r="CJ611">
        <v>0</v>
      </c>
      <c r="CK611">
        <v>2</v>
      </c>
      <c r="CL611">
        <v>0</v>
      </c>
      <c r="CM611">
        <v>2</v>
      </c>
      <c r="CN611">
        <v>0</v>
      </c>
      <c r="CO611">
        <v>7</v>
      </c>
      <c r="CP611" t="s">
        <v>119</v>
      </c>
      <c r="CQ611">
        <v>197</v>
      </c>
      <c r="CR611">
        <v>1</v>
      </c>
      <c r="CW611">
        <v>7295721</v>
      </c>
      <c r="CY611">
        <v>1</v>
      </c>
      <c r="CZ611">
        <v>0</v>
      </c>
      <c r="DA611">
        <v>0</v>
      </c>
      <c r="DB611">
        <v>0</v>
      </c>
      <c r="DC611">
        <v>0</v>
      </c>
      <c r="DD611">
        <v>1</v>
      </c>
      <c r="DE611">
        <v>0</v>
      </c>
      <c r="DF611">
        <v>0</v>
      </c>
      <c r="DG611">
        <v>0</v>
      </c>
      <c r="DH611">
        <v>0</v>
      </c>
      <c r="DI611">
        <v>0</v>
      </c>
    </row>
    <row r="612" spans="1:113" x14ac:dyDescent="0.3">
      <c r="A612" t="str">
        <f>"09/28/2021 13:55:34.952"</f>
        <v>09/28/2021 13:55:34.952</v>
      </c>
      <c r="C612" t="str">
        <f t="shared" si="29"/>
        <v>FFDFD3C0</v>
      </c>
      <c r="D612" t="s">
        <v>113</v>
      </c>
      <c r="E612">
        <v>7</v>
      </c>
      <c r="H612">
        <v>170</v>
      </c>
      <c r="I612" t="s">
        <v>114</v>
      </c>
      <c r="J612" t="s">
        <v>115</v>
      </c>
      <c r="K612">
        <v>0</v>
      </c>
      <c r="L612">
        <v>3</v>
      </c>
      <c r="M612">
        <v>0</v>
      </c>
      <c r="N612">
        <v>2</v>
      </c>
      <c r="O612">
        <v>1</v>
      </c>
      <c r="P612">
        <v>0</v>
      </c>
      <c r="Q612">
        <v>0</v>
      </c>
      <c r="S612" t="str">
        <f>"13:55:34.703"</f>
        <v>13:55:34.703</v>
      </c>
      <c r="T612" t="str">
        <f>"13:55:34.303"</f>
        <v>13:55:34.303</v>
      </c>
      <c r="U612" t="str">
        <f t="shared" si="31"/>
        <v>A92BC1</v>
      </c>
      <c r="V612">
        <v>0</v>
      </c>
      <c r="W612">
        <v>0</v>
      </c>
      <c r="X612">
        <v>2</v>
      </c>
      <c r="Z612">
        <v>0</v>
      </c>
      <c r="AA612">
        <v>9</v>
      </c>
      <c r="AB612">
        <v>3</v>
      </c>
      <c r="AC612">
        <v>0</v>
      </c>
      <c r="AD612">
        <v>10</v>
      </c>
      <c r="AE612">
        <v>0</v>
      </c>
      <c r="AF612">
        <v>3</v>
      </c>
      <c r="AG612">
        <v>2</v>
      </c>
      <c r="AH612">
        <v>0</v>
      </c>
      <c r="AI612" t="s">
        <v>712</v>
      </c>
      <c r="AJ612">
        <v>45.775008</v>
      </c>
      <c r="AK612" t="s">
        <v>713</v>
      </c>
      <c r="AL612">
        <v>-89.307389000000001</v>
      </c>
      <c r="AM612">
        <v>100</v>
      </c>
      <c r="AN612">
        <v>11700</v>
      </c>
      <c r="AO612" t="s">
        <v>118</v>
      </c>
      <c r="AP612">
        <v>127</v>
      </c>
      <c r="AQ612">
        <v>102</v>
      </c>
      <c r="AR612">
        <v>1280</v>
      </c>
      <c r="AZ612">
        <v>1200</v>
      </c>
      <c r="BA612">
        <v>1</v>
      </c>
      <c r="BB612" t="str">
        <f t="shared" si="30"/>
        <v xml:space="preserve">N690LS  </v>
      </c>
      <c r="BC612">
        <v>1</v>
      </c>
      <c r="BE612">
        <v>0</v>
      </c>
      <c r="BF612">
        <v>0</v>
      </c>
      <c r="BG612">
        <v>0</v>
      </c>
      <c r="BH612">
        <v>12050</v>
      </c>
      <c r="BI612">
        <v>1</v>
      </c>
      <c r="BJ612">
        <v>1</v>
      </c>
      <c r="BK612">
        <v>1</v>
      </c>
      <c r="BL612">
        <v>0</v>
      </c>
      <c r="BO612">
        <v>0</v>
      </c>
      <c r="BP612">
        <v>0</v>
      </c>
      <c r="BW612" t="str">
        <f>"13:55:34.704"</f>
        <v>13:55:34.704</v>
      </c>
      <c r="CJ612">
        <v>0</v>
      </c>
      <c r="CK612">
        <v>2</v>
      </c>
      <c r="CL612">
        <v>0</v>
      </c>
      <c r="CM612">
        <v>2</v>
      </c>
      <c r="CN612">
        <v>0</v>
      </c>
      <c r="CO612">
        <v>7</v>
      </c>
      <c r="CP612" t="s">
        <v>119</v>
      </c>
      <c r="CQ612">
        <v>197</v>
      </c>
      <c r="CR612">
        <v>1</v>
      </c>
      <c r="CW612">
        <v>7295721</v>
      </c>
      <c r="CY612">
        <v>1</v>
      </c>
      <c r="CZ612">
        <v>0</v>
      </c>
      <c r="DA612">
        <v>1</v>
      </c>
      <c r="DB612">
        <v>0</v>
      </c>
      <c r="DC612">
        <v>0</v>
      </c>
      <c r="DD612">
        <v>1</v>
      </c>
      <c r="DE612">
        <v>0</v>
      </c>
      <c r="DF612">
        <v>0</v>
      </c>
      <c r="DG612">
        <v>0</v>
      </c>
      <c r="DH612">
        <v>0</v>
      </c>
      <c r="DI612">
        <v>0</v>
      </c>
    </row>
    <row r="613" spans="1:113" x14ac:dyDescent="0.3">
      <c r="A613" t="str">
        <f>"09/28/2021 13:55:36.093"</f>
        <v>09/28/2021 13:55:36.093</v>
      </c>
      <c r="C613" t="str">
        <f t="shared" si="29"/>
        <v>FFDFD3C0</v>
      </c>
      <c r="D613" t="s">
        <v>113</v>
      </c>
      <c r="E613">
        <v>7</v>
      </c>
      <c r="H613">
        <v>170</v>
      </c>
      <c r="I613" t="s">
        <v>114</v>
      </c>
      <c r="J613" t="s">
        <v>115</v>
      </c>
      <c r="K613">
        <v>0</v>
      </c>
      <c r="L613">
        <v>3</v>
      </c>
      <c r="M613">
        <v>0</v>
      </c>
      <c r="N613">
        <v>2</v>
      </c>
      <c r="O613">
        <v>1</v>
      </c>
      <c r="P613">
        <v>0</v>
      </c>
      <c r="Q613">
        <v>0</v>
      </c>
      <c r="S613" t="str">
        <f>"13:55:35.836"</f>
        <v>13:55:35.836</v>
      </c>
      <c r="T613" t="str">
        <f>"13:55:35.336"</f>
        <v>13:55:35.336</v>
      </c>
      <c r="U613" t="str">
        <f t="shared" si="31"/>
        <v>A92BC1</v>
      </c>
      <c r="V613">
        <v>0</v>
      </c>
      <c r="W613">
        <v>0</v>
      </c>
      <c r="X613">
        <v>2</v>
      </c>
      <c r="Z613">
        <v>0</v>
      </c>
      <c r="AA613">
        <v>9</v>
      </c>
      <c r="AB613">
        <v>3</v>
      </c>
      <c r="AC613">
        <v>0</v>
      </c>
      <c r="AD613">
        <v>10</v>
      </c>
      <c r="AE613">
        <v>0</v>
      </c>
      <c r="AF613">
        <v>3</v>
      </c>
      <c r="AG613">
        <v>2</v>
      </c>
      <c r="AH613">
        <v>0</v>
      </c>
      <c r="AI613" t="s">
        <v>714</v>
      </c>
      <c r="AJ613">
        <v>45.775565999999998</v>
      </c>
      <c r="AK613" t="s">
        <v>715</v>
      </c>
      <c r="AL613">
        <v>-89.306359</v>
      </c>
      <c r="AM613">
        <v>100</v>
      </c>
      <c r="AN613">
        <v>11700</v>
      </c>
      <c r="AO613" t="s">
        <v>118</v>
      </c>
      <c r="AP613">
        <v>128</v>
      </c>
      <c r="AQ613">
        <v>103</v>
      </c>
      <c r="AR613">
        <v>1152</v>
      </c>
      <c r="AZ613">
        <v>1200</v>
      </c>
      <c r="BA613">
        <v>1</v>
      </c>
      <c r="BB613" t="str">
        <f t="shared" si="30"/>
        <v xml:space="preserve">N690LS  </v>
      </c>
      <c r="BC613">
        <v>1</v>
      </c>
      <c r="BE613">
        <v>0</v>
      </c>
      <c r="BF613">
        <v>0</v>
      </c>
      <c r="BG613">
        <v>0</v>
      </c>
      <c r="BH613">
        <v>12075</v>
      </c>
      <c r="BI613">
        <v>1</v>
      </c>
      <c r="BJ613">
        <v>1</v>
      </c>
      <c r="BK613">
        <v>1</v>
      </c>
      <c r="BL613">
        <v>0</v>
      </c>
      <c r="BO613">
        <v>0</v>
      </c>
      <c r="BP613">
        <v>0</v>
      </c>
      <c r="BW613" t="str">
        <f>"13:55:35.843"</f>
        <v>13:55:35.843</v>
      </c>
      <c r="CJ613">
        <v>0</v>
      </c>
      <c r="CK613">
        <v>2</v>
      </c>
      <c r="CL613">
        <v>0</v>
      </c>
      <c r="CM613">
        <v>2</v>
      </c>
      <c r="CN613">
        <v>0</v>
      </c>
      <c r="CO613">
        <v>7</v>
      </c>
      <c r="CP613" t="s">
        <v>119</v>
      </c>
      <c r="CQ613">
        <v>197</v>
      </c>
      <c r="CR613">
        <v>1</v>
      </c>
      <c r="CW613">
        <v>7296980</v>
      </c>
      <c r="CY613">
        <v>1</v>
      </c>
      <c r="CZ613">
        <v>0</v>
      </c>
      <c r="DA613">
        <v>0</v>
      </c>
      <c r="DB613">
        <v>0</v>
      </c>
      <c r="DC613">
        <v>0</v>
      </c>
      <c r="DD613">
        <v>1</v>
      </c>
      <c r="DE613">
        <v>0</v>
      </c>
      <c r="DF613">
        <v>0</v>
      </c>
      <c r="DG613">
        <v>0</v>
      </c>
      <c r="DH613">
        <v>0</v>
      </c>
      <c r="DI613">
        <v>0</v>
      </c>
    </row>
    <row r="614" spans="1:113" x14ac:dyDescent="0.3">
      <c r="A614" t="str">
        <f>"09/28/2021 13:55:36.109"</f>
        <v>09/28/2021 13:55:36.109</v>
      </c>
      <c r="C614" t="str">
        <f t="shared" si="29"/>
        <v>FFDFD3C0</v>
      </c>
      <c r="D614" t="s">
        <v>120</v>
      </c>
      <c r="E614">
        <v>12</v>
      </c>
      <c r="F614">
        <v>1012</v>
      </c>
      <c r="G614" t="s">
        <v>114</v>
      </c>
      <c r="J614" t="s">
        <v>121</v>
      </c>
      <c r="K614">
        <v>0</v>
      </c>
      <c r="L614">
        <v>3</v>
      </c>
      <c r="M614">
        <v>0</v>
      </c>
      <c r="N614">
        <v>2</v>
      </c>
      <c r="O614">
        <v>1</v>
      </c>
      <c r="P614">
        <v>0</v>
      </c>
      <c r="Q614">
        <v>0</v>
      </c>
      <c r="S614" t="str">
        <f>"13:55:35.836"</f>
        <v>13:55:35.836</v>
      </c>
      <c r="T614" t="str">
        <f>"13:55:35.336"</f>
        <v>13:55:35.336</v>
      </c>
      <c r="U614" t="str">
        <f t="shared" si="31"/>
        <v>A92BC1</v>
      </c>
      <c r="V614">
        <v>0</v>
      </c>
      <c r="W614">
        <v>0</v>
      </c>
      <c r="X614">
        <v>2</v>
      </c>
      <c r="Z614">
        <v>0</v>
      </c>
      <c r="AA614">
        <v>9</v>
      </c>
      <c r="AB614">
        <v>3</v>
      </c>
      <c r="AC614">
        <v>0</v>
      </c>
      <c r="AD614">
        <v>10</v>
      </c>
      <c r="AE614">
        <v>0</v>
      </c>
      <c r="AF614">
        <v>3</v>
      </c>
      <c r="AG614">
        <v>2</v>
      </c>
      <c r="AH614">
        <v>0</v>
      </c>
      <c r="AI614" t="s">
        <v>714</v>
      </c>
      <c r="AJ614">
        <v>45.775565999999998</v>
      </c>
      <c r="AK614" t="s">
        <v>715</v>
      </c>
      <c r="AL614">
        <v>-89.306359</v>
      </c>
      <c r="AM614">
        <v>100</v>
      </c>
      <c r="AN614">
        <v>11700</v>
      </c>
      <c r="AO614" t="s">
        <v>118</v>
      </c>
      <c r="AP614">
        <v>128</v>
      </c>
      <c r="AQ614">
        <v>103</v>
      </c>
      <c r="AR614">
        <v>1152</v>
      </c>
      <c r="AZ614">
        <v>1200</v>
      </c>
      <c r="BA614">
        <v>1</v>
      </c>
      <c r="BB614" t="str">
        <f t="shared" si="30"/>
        <v xml:space="preserve">N690LS  </v>
      </c>
      <c r="BC614">
        <v>1</v>
      </c>
      <c r="BE614">
        <v>0</v>
      </c>
      <c r="BF614">
        <v>0</v>
      </c>
      <c r="BG614">
        <v>0</v>
      </c>
      <c r="BH614">
        <v>12075</v>
      </c>
      <c r="BI614">
        <v>1</v>
      </c>
      <c r="BJ614">
        <v>1</v>
      </c>
      <c r="BK614">
        <v>1</v>
      </c>
      <c r="BL614">
        <v>0</v>
      </c>
      <c r="BO614">
        <v>0</v>
      </c>
      <c r="BP614">
        <v>0</v>
      </c>
      <c r="BW614" t="str">
        <f>"13:55:35.843"</f>
        <v>13:55:35.843</v>
      </c>
      <c r="CJ614">
        <v>0</v>
      </c>
      <c r="CK614">
        <v>2</v>
      </c>
      <c r="CL614">
        <v>0</v>
      </c>
      <c r="CM614">
        <v>2</v>
      </c>
      <c r="CN614">
        <v>0</v>
      </c>
      <c r="CO614">
        <v>7</v>
      </c>
      <c r="CP614" t="s">
        <v>119</v>
      </c>
      <c r="CQ614">
        <v>197</v>
      </c>
      <c r="CR614">
        <v>1</v>
      </c>
      <c r="CW614">
        <v>7296980</v>
      </c>
      <c r="CY614">
        <v>1</v>
      </c>
      <c r="CZ614">
        <v>0</v>
      </c>
      <c r="DA614">
        <v>1</v>
      </c>
      <c r="DB614">
        <v>0</v>
      </c>
      <c r="DC614">
        <v>0</v>
      </c>
      <c r="DD614">
        <v>1</v>
      </c>
      <c r="DE614">
        <v>0</v>
      </c>
      <c r="DF614">
        <v>0</v>
      </c>
      <c r="DG614">
        <v>0</v>
      </c>
      <c r="DH614">
        <v>0</v>
      </c>
      <c r="DI614">
        <v>0</v>
      </c>
    </row>
    <row r="615" spans="1:113" x14ac:dyDescent="0.3">
      <c r="A615" t="str">
        <f>"09/28/2021 13:55:37.198"</f>
        <v>09/28/2021 13:55:37.198</v>
      </c>
      <c r="C615" t="str">
        <f t="shared" ref="C615:C678" si="32">"FFDFD3C0"</f>
        <v>FFDFD3C0</v>
      </c>
      <c r="D615" t="s">
        <v>120</v>
      </c>
      <c r="E615">
        <v>12</v>
      </c>
      <c r="F615">
        <v>1012</v>
      </c>
      <c r="G615" t="s">
        <v>114</v>
      </c>
      <c r="J615" t="s">
        <v>121</v>
      </c>
      <c r="K615">
        <v>0</v>
      </c>
      <c r="L615">
        <v>3</v>
      </c>
      <c r="M615">
        <v>0</v>
      </c>
      <c r="N615">
        <v>2</v>
      </c>
      <c r="O615">
        <v>1</v>
      </c>
      <c r="P615">
        <v>0</v>
      </c>
      <c r="Q615">
        <v>0</v>
      </c>
      <c r="S615" t="str">
        <f>"13:55:36.961"</f>
        <v>13:55:36.961</v>
      </c>
      <c r="T615" t="str">
        <f>"13:55:36.461"</f>
        <v>13:55:36.461</v>
      </c>
      <c r="U615" t="str">
        <f t="shared" si="31"/>
        <v>A92BC1</v>
      </c>
      <c r="V615">
        <v>0</v>
      </c>
      <c r="W615">
        <v>0</v>
      </c>
      <c r="X615">
        <v>2</v>
      </c>
      <c r="Z615">
        <v>0</v>
      </c>
      <c r="AA615">
        <v>9</v>
      </c>
      <c r="AB615">
        <v>3</v>
      </c>
      <c r="AC615">
        <v>0</v>
      </c>
      <c r="AD615">
        <v>10</v>
      </c>
      <c r="AE615">
        <v>0</v>
      </c>
      <c r="AF615">
        <v>3</v>
      </c>
      <c r="AG615">
        <v>2</v>
      </c>
      <c r="AH615">
        <v>0</v>
      </c>
      <c r="AI615" t="s">
        <v>716</v>
      </c>
      <c r="AJ615">
        <v>45.776102999999999</v>
      </c>
      <c r="AK615" t="s">
        <v>717</v>
      </c>
      <c r="AL615">
        <v>-89.305458000000002</v>
      </c>
      <c r="AM615">
        <v>100</v>
      </c>
      <c r="AN615">
        <v>11700</v>
      </c>
      <c r="AO615" t="s">
        <v>118</v>
      </c>
      <c r="AP615">
        <v>129</v>
      </c>
      <c r="AQ615">
        <v>103</v>
      </c>
      <c r="AR615">
        <v>1088</v>
      </c>
      <c r="AZ615">
        <v>1200</v>
      </c>
      <c r="BA615">
        <v>1</v>
      </c>
      <c r="BB615" t="str">
        <f t="shared" ref="BB615:BB678" si="33">"N690LS  "</f>
        <v xml:space="preserve">N690LS  </v>
      </c>
      <c r="BC615">
        <v>1</v>
      </c>
      <c r="BE615">
        <v>0</v>
      </c>
      <c r="BF615">
        <v>0</v>
      </c>
      <c r="BG615">
        <v>0</v>
      </c>
      <c r="BH615">
        <v>12100</v>
      </c>
      <c r="BI615">
        <v>1</v>
      </c>
      <c r="BJ615">
        <v>1</v>
      </c>
      <c r="BK615">
        <v>1</v>
      </c>
      <c r="BL615">
        <v>0</v>
      </c>
      <c r="BO615">
        <v>0</v>
      </c>
      <c r="BP615">
        <v>0</v>
      </c>
      <c r="BW615" t="str">
        <f>"13:55:36.969"</f>
        <v>13:55:36.969</v>
      </c>
      <c r="CJ615">
        <v>0</v>
      </c>
      <c r="CK615">
        <v>2</v>
      </c>
      <c r="CL615">
        <v>0</v>
      </c>
      <c r="CM615">
        <v>2</v>
      </c>
      <c r="CN615">
        <v>0</v>
      </c>
      <c r="CO615">
        <v>7</v>
      </c>
      <c r="CP615" t="s">
        <v>119</v>
      </c>
      <c r="CQ615">
        <v>197</v>
      </c>
      <c r="CR615">
        <v>0</v>
      </c>
      <c r="CW615">
        <v>16026852</v>
      </c>
      <c r="CY615">
        <v>1</v>
      </c>
      <c r="CZ615">
        <v>0</v>
      </c>
      <c r="DA615">
        <v>0</v>
      </c>
      <c r="DB615">
        <v>0</v>
      </c>
      <c r="DC615">
        <v>0</v>
      </c>
      <c r="DD615">
        <v>1</v>
      </c>
      <c r="DE615">
        <v>0</v>
      </c>
      <c r="DF615">
        <v>0</v>
      </c>
      <c r="DG615">
        <v>0</v>
      </c>
      <c r="DH615">
        <v>0</v>
      </c>
      <c r="DI615">
        <v>0</v>
      </c>
    </row>
    <row r="616" spans="1:113" x14ac:dyDescent="0.3">
      <c r="A616" t="str">
        <f>"09/28/2021 13:55:37.198"</f>
        <v>09/28/2021 13:55:37.198</v>
      </c>
      <c r="C616" t="str">
        <f t="shared" si="32"/>
        <v>FFDFD3C0</v>
      </c>
      <c r="D616" t="s">
        <v>113</v>
      </c>
      <c r="E616">
        <v>7</v>
      </c>
      <c r="H616">
        <v>170</v>
      </c>
      <c r="I616" t="s">
        <v>114</v>
      </c>
      <c r="J616" t="s">
        <v>115</v>
      </c>
      <c r="K616">
        <v>0</v>
      </c>
      <c r="L616">
        <v>3</v>
      </c>
      <c r="M616">
        <v>0</v>
      </c>
      <c r="N616">
        <v>2</v>
      </c>
      <c r="O616">
        <v>1</v>
      </c>
      <c r="P616">
        <v>0</v>
      </c>
      <c r="Q616">
        <v>0</v>
      </c>
      <c r="S616" t="str">
        <f>"13:55:36.961"</f>
        <v>13:55:36.961</v>
      </c>
      <c r="T616" t="str">
        <f>"13:55:36.461"</f>
        <v>13:55:36.461</v>
      </c>
      <c r="U616" t="str">
        <f t="shared" si="31"/>
        <v>A92BC1</v>
      </c>
      <c r="V616">
        <v>0</v>
      </c>
      <c r="W616">
        <v>0</v>
      </c>
      <c r="X616">
        <v>2</v>
      </c>
      <c r="Z616">
        <v>0</v>
      </c>
      <c r="AA616">
        <v>9</v>
      </c>
      <c r="AB616">
        <v>3</v>
      </c>
      <c r="AC616">
        <v>0</v>
      </c>
      <c r="AD616">
        <v>10</v>
      </c>
      <c r="AE616">
        <v>0</v>
      </c>
      <c r="AF616">
        <v>3</v>
      </c>
      <c r="AG616">
        <v>2</v>
      </c>
      <c r="AH616">
        <v>0</v>
      </c>
      <c r="AI616" t="s">
        <v>716</v>
      </c>
      <c r="AJ616">
        <v>45.776102999999999</v>
      </c>
      <c r="AK616" t="s">
        <v>717</v>
      </c>
      <c r="AL616">
        <v>-89.305458000000002</v>
      </c>
      <c r="AM616">
        <v>100</v>
      </c>
      <c r="AN616">
        <v>11700</v>
      </c>
      <c r="AO616" t="s">
        <v>118</v>
      </c>
      <c r="AP616">
        <v>129</v>
      </c>
      <c r="AQ616">
        <v>103</v>
      </c>
      <c r="AR616">
        <v>1088</v>
      </c>
      <c r="AZ616">
        <v>1200</v>
      </c>
      <c r="BA616">
        <v>1</v>
      </c>
      <c r="BB616" t="str">
        <f t="shared" si="33"/>
        <v xml:space="preserve">N690LS  </v>
      </c>
      <c r="BC616">
        <v>1</v>
      </c>
      <c r="BE616">
        <v>0</v>
      </c>
      <c r="BF616">
        <v>0</v>
      </c>
      <c r="BG616">
        <v>0</v>
      </c>
      <c r="BH616">
        <v>12100</v>
      </c>
      <c r="BI616">
        <v>1</v>
      </c>
      <c r="BJ616">
        <v>1</v>
      </c>
      <c r="BK616">
        <v>1</v>
      </c>
      <c r="BL616">
        <v>0</v>
      </c>
      <c r="BO616">
        <v>0</v>
      </c>
      <c r="BP616">
        <v>0</v>
      </c>
      <c r="BW616" t="str">
        <f>"13:55:36.969"</f>
        <v>13:55:36.969</v>
      </c>
      <c r="CJ616">
        <v>0</v>
      </c>
      <c r="CK616">
        <v>2</v>
      </c>
      <c r="CL616">
        <v>0</v>
      </c>
      <c r="CM616">
        <v>2</v>
      </c>
      <c r="CN616">
        <v>0</v>
      </c>
      <c r="CO616">
        <v>7</v>
      </c>
      <c r="CP616" t="s">
        <v>119</v>
      </c>
      <c r="CQ616">
        <v>197</v>
      </c>
      <c r="CR616">
        <v>0</v>
      </c>
      <c r="CW616">
        <v>16026852</v>
      </c>
      <c r="CY616">
        <v>1</v>
      </c>
      <c r="CZ616">
        <v>0</v>
      </c>
      <c r="DA616">
        <v>1</v>
      </c>
      <c r="DB616">
        <v>0</v>
      </c>
      <c r="DC616">
        <v>0</v>
      </c>
      <c r="DD616">
        <v>1</v>
      </c>
      <c r="DE616">
        <v>0</v>
      </c>
      <c r="DF616">
        <v>0</v>
      </c>
      <c r="DG616">
        <v>0</v>
      </c>
      <c r="DH616">
        <v>0</v>
      </c>
      <c r="DI616">
        <v>0</v>
      </c>
    </row>
    <row r="617" spans="1:113" x14ac:dyDescent="0.3">
      <c r="A617" t="str">
        <f>"09/28/2021 13:55:38.182"</f>
        <v>09/28/2021 13:55:38.182</v>
      </c>
      <c r="C617" t="str">
        <f t="shared" si="32"/>
        <v>FFDFD3C0</v>
      </c>
      <c r="D617" t="s">
        <v>113</v>
      </c>
      <c r="E617">
        <v>7</v>
      </c>
      <c r="H617">
        <v>170</v>
      </c>
      <c r="I617" t="s">
        <v>114</v>
      </c>
      <c r="J617" t="s">
        <v>115</v>
      </c>
      <c r="K617">
        <v>0</v>
      </c>
      <c r="L617">
        <v>3</v>
      </c>
      <c r="M617">
        <v>0</v>
      </c>
      <c r="N617">
        <v>2</v>
      </c>
      <c r="O617">
        <v>1</v>
      </c>
      <c r="P617">
        <v>0</v>
      </c>
      <c r="Q617">
        <v>0</v>
      </c>
      <c r="S617" t="str">
        <f>"13:55:37.969"</f>
        <v>13:55:37.969</v>
      </c>
      <c r="T617" t="str">
        <f>"13:55:37.569"</f>
        <v>13:55:37.569</v>
      </c>
      <c r="U617" t="str">
        <f t="shared" si="31"/>
        <v>A92BC1</v>
      </c>
      <c r="V617">
        <v>0</v>
      </c>
      <c r="W617">
        <v>0</v>
      </c>
      <c r="X617">
        <v>2</v>
      </c>
      <c r="Z617">
        <v>0</v>
      </c>
      <c r="AA617">
        <v>9</v>
      </c>
      <c r="AB617">
        <v>3</v>
      </c>
      <c r="AC617">
        <v>0</v>
      </c>
      <c r="AD617">
        <v>10</v>
      </c>
      <c r="AE617">
        <v>0</v>
      </c>
      <c r="AF617">
        <v>3</v>
      </c>
      <c r="AG617">
        <v>2</v>
      </c>
      <c r="AH617">
        <v>0</v>
      </c>
      <c r="AI617" t="s">
        <v>718</v>
      </c>
      <c r="AJ617">
        <v>45.776553</v>
      </c>
      <c r="AK617" t="s">
        <v>719</v>
      </c>
      <c r="AL617">
        <v>-89.304578000000006</v>
      </c>
      <c r="AM617">
        <v>100</v>
      </c>
      <c r="AN617">
        <v>11700</v>
      </c>
      <c r="AO617" t="s">
        <v>118</v>
      </c>
      <c r="AP617">
        <v>130</v>
      </c>
      <c r="AQ617">
        <v>104</v>
      </c>
      <c r="AR617">
        <v>1088</v>
      </c>
      <c r="AZ617">
        <v>1200</v>
      </c>
      <c r="BA617">
        <v>1</v>
      </c>
      <c r="BB617" t="str">
        <f t="shared" si="33"/>
        <v xml:space="preserve">N690LS  </v>
      </c>
      <c r="BC617">
        <v>1</v>
      </c>
      <c r="BE617">
        <v>0</v>
      </c>
      <c r="BF617">
        <v>0</v>
      </c>
      <c r="BG617">
        <v>0</v>
      </c>
      <c r="BH617">
        <v>12100</v>
      </c>
      <c r="BI617">
        <v>1</v>
      </c>
      <c r="BJ617">
        <v>1</v>
      </c>
      <c r="BK617">
        <v>1</v>
      </c>
      <c r="BL617">
        <v>0</v>
      </c>
      <c r="BO617">
        <v>0</v>
      </c>
      <c r="BP617">
        <v>0</v>
      </c>
      <c r="BW617" t="str">
        <f>"13:55:37.975"</f>
        <v>13:55:37.975</v>
      </c>
      <c r="CJ617">
        <v>0</v>
      </c>
      <c r="CK617">
        <v>2</v>
      </c>
      <c r="CL617">
        <v>0</v>
      </c>
      <c r="CM617">
        <v>2</v>
      </c>
      <c r="CN617">
        <v>0</v>
      </c>
      <c r="CO617">
        <v>7</v>
      </c>
      <c r="CP617" t="s">
        <v>119</v>
      </c>
      <c r="CQ617">
        <v>197</v>
      </c>
      <c r="CR617">
        <v>1</v>
      </c>
      <c r="CW617">
        <v>7299386</v>
      </c>
      <c r="CY617">
        <v>1</v>
      </c>
      <c r="CZ617">
        <v>0</v>
      </c>
      <c r="DA617">
        <v>0</v>
      </c>
      <c r="DB617">
        <v>0</v>
      </c>
      <c r="DC617">
        <v>0</v>
      </c>
      <c r="DD617">
        <v>1</v>
      </c>
      <c r="DE617">
        <v>0</v>
      </c>
      <c r="DF617">
        <v>0</v>
      </c>
      <c r="DG617">
        <v>0</v>
      </c>
      <c r="DH617">
        <v>0</v>
      </c>
      <c r="DI617">
        <v>0</v>
      </c>
    </row>
    <row r="618" spans="1:113" x14ac:dyDescent="0.3">
      <c r="A618" t="str">
        <f>"09/28/2021 13:55:38.182"</f>
        <v>09/28/2021 13:55:38.182</v>
      </c>
      <c r="C618" t="str">
        <f t="shared" si="32"/>
        <v>FFDFD3C0</v>
      </c>
      <c r="D618" t="s">
        <v>120</v>
      </c>
      <c r="E618">
        <v>12</v>
      </c>
      <c r="F618">
        <v>1012</v>
      </c>
      <c r="G618" t="s">
        <v>114</v>
      </c>
      <c r="J618" t="s">
        <v>121</v>
      </c>
      <c r="K618">
        <v>0</v>
      </c>
      <c r="L618">
        <v>3</v>
      </c>
      <c r="M618">
        <v>0</v>
      </c>
      <c r="N618">
        <v>2</v>
      </c>
      <c r="O618">
        <v>1</v>
      </c>
      <c r="P618">
        <v>0</v>
      </c>
      <c r="Q618">
        <v>0</v>
      </c>
      <c r="S618" t="str">
        <f>"13:55:37.969"</f>
        <v>13:55:37.969</v>
      </c>
      <c r="T618" t="str">
        <f>"13:55:37.569"</f>
        <v>13:55:37.569</v>
      </c>
      <c r="U618" t="str">
        <f t="shared" si="31"/>
        <v>A92BC1</v>
      </c>
      <c r="V618">
        <v>0</v>
      </c>
      <c r="W618">
        <v>0</v>
      </c>
      <c r="X618">
        <v>2</v>
      </c>
      <c r="Z618">
        <v>0</v>
      </c>
      <c r="AA618">
        <v>9</v>
      </c>
      <c r="AB618">
        <v>3</v>
      </c>
      <c r="AC618">
        <v>0</v>
      </c>
      <c r="AD618">
        <v>10</v>
      </c>
      <c r="AE618">
        <v>0</v>
      </c>
      <c r="AF618">
        <v>3</v>
      </c>
      <c r="AG618">
        <v>2</v>
      </c>
      <c r="AH618">
        <v>0</v>
      </c>
      <c r="AI618" t="s">
        <v>718</v>
      </c>
      <c r="AJ618">
        <v>45.776553</v>
      </c>
      <c r="AK618" t="s">
        <v>719</v>
      </c>
      <c r="AL618">
        <v>-89.304578000000006</v>
      </c>
      <c r="AM618">
        <v>100</v>
      </c>
      <c r="AN618">
        <v>11700</v>
      </c>
      <c r="AO618" t="s">
        <v>118</v>
      </c>
      <c r="AP618">
        <v>130</v>
      </c>
      <c r="AQ618">
        <v>104</v>
      </c>
      <c r="AR618">
        <v>1088</v>
      </c>
      <c r="AZ618">
        <v>1200</v>
      </c>
      <c r="BA618">
        <v>1</v>
      </c>
      <c r="BB618" t="str">
        <f t="shared" si="33"/>
        <v xml:space="preserve">N690LS  </v>
      </c>
      <c r="BC618">
        <v>1</v>
      </c>
      <c r="BE618">
        <v>0</v>
      </c>
      <c r="BF618">
        <v>0</v>
      </c>
      <c r="BG618">
        <v>0</v>
      </c>
      <c r="BH618">
        <v>12100</v>
      </c>
      <c r="BI618">
        <v>1</v>
      </c>
      <c r="BJ618">
        <v>1</v>
      </c>
      <c r="BK618">
        <v>1</v>
      </c>
      <c r="BL618">
        <v>0</v>
      </c>
      <c r="BO618">
        <v>0</v>
      </c>
      <c r="BP618">
        <v>0</v>
      </c>
      <c r="BW618" t="str">
        <f>"13:55:37.975"</f>
        <v>13:55:37.975</v>
      </c>
      <c r="CJ618">
        <v>0</v>
      </c>
      <c r="CK618">
        <v>2</v>
      </c>
      <c r="CL618">
        <v>0</v>
      </c>
      <c r="CM618">
        <v>2</v>
      </c>
      <c r="CN618">
        <v>0</v>
      </c>
      <c r="CO618">
        <v>7</v>
      </c>
      <c r="CP618" t="s">
        <v>119</v>
      </c>
      <c r="CQ618">
        <v>197</v>
      </c>
      <c r="CR618">
        <v>1</v>
      </c>
      <c r="CW618">
        <v>7299386</v>
      </c>
      <c r="CY618">
        <v>1</v>
      </c>
      <c r="CZ618">
        <v>0</v>
      </c>
      <c r="DA618">
        <v>1</v>
      </c>
      <c r="DB618">
        <v>0</v>
      </c>
      <c r="DC618">
        <v>0</v>
      </c>
      <c r="DD618">
        <v>1</v>
      </c>
      <c r="DE618">
        <v>0</v>
      </c>
      <c r="DF618">
        <v>0</v>
      </c>
      <c r="DG618">
        <v>0</v>
      </c>
      <c r="DH618">
        <v>0</v>
      </c>
      <c r="DI618">
        <v>0</v>
      </c>
    </row>
    <row r="619" spans="1:113" x14ac:dyDescent="0.3">
      <c r="A619" t="str">
        <f>"09/28/2021 13:55:39.184"</f>
        <v>09/28/2021 13:55:39.184</v>
      </c>
      <c r="C619" t="str">
        <f t="shared" si="32"/>
        <v>FFDFD3C0</v>
      </c>
      <c r="D619" t="s">
        <v>113</v>
      </c>
      <c r="E619">
        <v>7</v>
      </c>
      <c r="H619">
        <v>170</v>
      </c>
      <c r="I619" t="s">
        <v>114</v>
      </c>
      <c r="J619" t="s">
        <v>115</v>
      </c>
      <c r="K619">
        <v>0</v>
      </c>
      <c r="L619">
        <v>3</v>
      </c>
      <c r="M619">
        <v>0</v>
      </c>
      <c r="N619">
        <v>2</v>
      </c>
      <c r="O619">
        <v>1</v>
      </c>
      <c r="P619">
        <v>0</v>
      </c>
      <c r="Q619">
        <v>0</v>
      </c>
      <c r="S619" t="str">
        <f>"13:55:38.969"</f>
        <v>13:55:38.969</v>
      </c>
      <c r="T619" t="str">
        <f>"13:55:38.569"</f>
        <v>13:55:38.569</v>
      </c>
      <c r="U619" t="str">
        <f t="shared" si="31"/>
        <v>A92BC1</v>
      </c>
      <c r="V619">
        <v>0</v>
      </c>
      <c r="W619">
        <v>0</v>
      </c>
      <c r="X619">
        <v>2</v>
      </c>
      <c r="Z619">
        <v>0</v>
      </c>
      <c r="AA619">
        <v>9</v>
      </c>
      <c r="AB619">
        <v>3</v>
      </c>
      <c r="AC619">
        <v>0</v>
      </c>
      <c r="AD619">
        <v>10</v>
      </c>
      <c r="AE619">
        <v>0</v>
      </c>
      <c r="AF619">
        <v>3</v>
      </c>
      <c r="AG619">
        <v>2</v>
      </c>
      <c r="AH619">
        <v>0</v>
      </c>
      <c r="AI619" t="s">
        <v>720</v>
      </c>
      <c r="AJ619">
        <v>45.777047000000003</v>
      </c>
      <c r="AK619" t="s">
        <v>721</v>
      </c>
      <c r="AL619">
        <v>-89.303698999999995</v>
      </c>
      <c r="AM619">
        <v>100</v>
      </c>
      <c r="AN619">
        <v>11800</v>
      </c>
      <c r="AO619" t="s">
        <v>118</v>
      </c>
      <c r="AP619">
        <v>131</v>
      </c>
      <c r="AQ619">
        <v>104</v>
      </c>
      <c r="AR619">
        <v>1152</v>
      </c>
      <c r="AZ619">
        <v>1200</v>
      </c>
      <c r="BA619">
        <v>1</v>
      </c>
      <c r="BB619" t="str">
        <f t="shared" si="33"/>
        <v xml:space="preserve">N690LS  </v>
      </c>
      <c r="BC619">
        <v>1</v>
      </c>
      <c r="BE619">
        <v>0</v>
      </c>
      <c r="BF619">
        <v>0</v>
      </c>
      <c r="BG619">
        <v>0</v>
      </c>
      <c r="BH619">
        <v>12125</v>
      </c>
      <c r="BI619">
        <v>1</v>
      </c>
      <c r="BJ619">
        <v>1</v>
      </c>
      <c r="BK619">
        <v>1</v>
      </c>
      <c r="BL619">
        <v>0</v>
      </c>
      <c r="BO619">
        <v>0</v>
      </c>
      <c r="BP619">
        <v>0</v>
      </c>
      <c r="BW619" t="str">
        <f>"13:55:38.974"</f>
        <v>13:55:38.974</v>
      </c>
      <c r="CJ619">
        <v>0</v>
      </c>
      <c r="CK619">
        <v>2</v>
      </c>
      <c r="CL619">
        <v>0</v>
      </c>
      <c r="CM619">
        <v>2</v>
      </c>
      <c r="CN619">
        <v>0</v>
      </c>
      <c r="CO619">
        <v>7</v>
      </c>
      <c r="CP619" t="s">
        <v>119</v>
      </c>
      <c r="CQ619">
        <v>197</v>
      </c>
      <c r="CR619">
        <v>2</v>
      </c>
      <c r="CW619">
        <v>2364310</v>
      </c>
      <c r="CY619">
        <v>1</v>
      </c>
      <c r="CZ619">
        <v>0</v>
      </c>
      <c r="DA619">
        <v>0</v>
      </c>
      <c r="DB619">
        <v>0</v>
      </c>
      <c r="DC619">
        <v>0</v>
      </c>
      <c r="DD619">
        <v>1</v>
      </c>
      <c r="DE619">
        <v>0</v>
      </c>
      <c r="DF619">
        <v>0</v>
      </c>
      <c r="DG619">
        <v>0</v>
      </c>
      <c r="DH619">
        <v>0</v>
      </c>
      <c r="DI619">
        <v>0</v>
      </c>
    </row>
    <row r="620" spans="1:113" x14ac:dyDescent="0.3">
      <c r="A620" t="str">
        <f>"09/28/2021 13:55:39.184"</f>
        <v>09/28/2021 13:55:39.184</v>
      </c>
      <c r="C620" t="str">
        <f t="shared" si="32"/>
        <v>FFDFD3C0</v>
      </c>
      <c r="D620" t="s">
        <v>120</v>
      </c>
      <c r="E620">
        <v>12</v>
      </c>
      <c r="F620">
        <v>1012</v>
      </c>
      <c r="G620" t="s">
        <v>114</v>
      </c>
      <c r="J620" t="s">
        <v>121</v>
      </c>
      <c r="K620">
        <v>0</v>
      </c>
      <c r="L620">
        <v>3</v>
      </c>
      <c r="M620">
        <v>0</v>
      </c>
      <c r="N620">
        <v>2</v>
      </c>
      <c r="O620">
        <v>1</v>
      </c>
      <c r="P620">
        <v>0</v>
      </c>
      <c r="Q620">
        <v>0</v>
      </c>
      <c r="S620" t="str">
        <f>"13:55:38.969"</f>
        <v>13:55:38.969</v>
      </c>
      <c r="T620" t="str">
        <f>"13:55:38.569"</f>
        <v>13:55:38.569</v>
      </c>
      <c r="U620" t="str">
        <f t="shared" si="31"/>
        <v>A92BC1</v>
      </c>
      <c r="V620">
        <v>0</v>
      </c>
      <c r="W620">
        <v>0</v>
      </c>
      <c r="X620">
        <v>2</v>
      </c>
      <c r="Z620">
        <v>0</v>
      </c>
      <c r="AA620">
        <v>9</v>
      </c>
      <c r="AB620">
        <v>3</v>
      </c>
      <c r="AC620">
        <v>0</v>
      </c>
      <c r="AD620">
        <v>10</v>
      </c>
      <c r="AE620">
        <v>0</v>
      </c>
      <c r="AF620">
        <v>3</v>
      </c>
      <c r="AG620">
        <v>2</v>
      </c>
      <c r="AH620">
        <v>0</v>
      </c>
      <c r="AI620" t="s">
        <v>720</v>
      </c>
      <c r="AJ620">
        <v>45.777047000000003</v>
      </c>
      <c r="AK620" t="s">
        <v>721</v>
      </c>
      <c r="AL620">
        <v>-89.303698999999995</v>
      </c>
      <c r="AM620">
        <v>100</v>
      </c>
      <c r="AN620">
        <v>11800</v>
      </c>
      <c r="AO620" t="s">
        <v>118</v>
      </c>
      <c r="AP620">
        <v>131</v>
      </c>
      <c r="AQ620">
        <v>104</v>
      </c>
      <c r="AR620">
        <v>1152</v>
      </c>
      <c r="AZ620">
        <v>1200</v>
      </c>
      <c r="BA620">
        <v>1</v>
      </c>
      <c r="BB620" t="str">
        <f t="shared" si="33"/>
        <v xml:space="preserve">N690LS  </v>
      </c>
      <c r="BC620">
        <v>1</v>
      </c>
      <c r="BE620">
        <v>0</v>
      </c>
      <c r="BF620">
        <v>0</v>
      </c>
      <c r="BG620">
        <v>0</v>
      </c>
      <c r="BH620">
        <v>12125</v>
      </c>
      <c r="BI620">
        <v>1</v>
      </c>
      <c r="BJ620">
        <v>1</v>
      </c>
      <c r="BK620">
        <v>1</v>
      </c>
      <c r="BL620">
        <v>0</v>
      </c>
      <c r="BO620">
        <v>0</v>
      </c>
      <c r="BP620">
        <v>0</v>
      </c>
      <c r="BW620" t="str">
        <f>"13:55:38.974"</f>
        <v>13:55:38.974</v>
      </c>
      <c r="CJ620">
        <v>0</v>
      </c>
      <c r="CK620">
        <v>2</v>
      </c>
      <c r="CL620">
        <v>0</v>
      </c>
      <c r="CM620">
        <v>2</v>
      </c>
      <c r="CN620">
        <v>0</v>
      </c>
      <c r="CO620">
        <v>7</v>
      </c>
      <c r="CP620" t="s">
        <v>119</v>
      </c>
      <c r="CQ620">
        <v>197</v>
      </c>
      <c r="CR620">
        <v>2</v>
      </c>
      <c r="CW620">
        <v>2364310</v>
      </c>
      <c r="CY620">
        <v>1</v>
      </c>
      <c r="CZ620">
        <v>0</v>
      </c>
      <c r="DA620">
        <v>1</v>
      </c>
      <c r="DB620">
        <v>0</v>
      </c>
      <c r="DC620">
        <v>0</v>
      </c>
      <c r="DD620">
        <v>1</v>
      </c>
      <c r="DE620">
        <v>0</v>
      </c>
      <c r="DF620">
        <v>0</v>
      </c>
      <c r="DG620">
        <v>0</v>
      </c>
      <c r="DH620">
        <v>0</v>
      </c>
      <c r="DI620">
        <v>0</v>
      </c>
    </row>
    <row r="621" spans="1:113" x14ac:dyDescent="0.3">
      <c r="A621" t="str">
        <f>"09/28/2021 13:55:40.309"</f>
        <v>09/28/2021 13:55:40.309</v>
      </c>
      <c r="C621" t="str">
        <f t="shared" si="32"/>
        <v>FFDFD3C0</v>
      </c>
      <c r="D621" t="s">
        <v>113</v>
      </c>
      <c r="E621">
        <v>7</v>
      </c>
      <c r="H621">
        <v>170</v>
      </c>
      <c r="I621" t="s">
        <v>114</v>
      </c>
      <c r="J621" t="s">
        <v>115</v>
      </c>
      <c r="K621">
        <v>0</v>
      </c>
      <c r="L621">
        <v>3</v>
      </c>
      <c r="M621">
        <v>0</v>
      </c>
      <c r="N621">
        <v>2</v>
      </c>
      <c r="O621">
        <v>1</v>
      </c>
      <c r="P621">
        <v>0</v>
      </c>
      <c r="Q621">
        <v>0</v>
      </c>
      <c r="S621" t="str">
        <f>"13:55:40.039"</f>
        <v>13:55:40.039</v>
      </c>
      <c r="T621" t="str">
        <f>"13:55:39.639"</f>
        <v>13:55:39.639</v>
      </c>
      <c r="U621" t="str">
        <f t="shared" si="31"/>
        <v>A92BC1</v>
      </c>
      <c r="V621">
        <v>0</v>
      </c>
      <c r="W621">
        <v>0</v>
      </c>
      <c r="X621">
        <v>2</v>
      </c>
      <c r="Z621">
        <v>0</v>
      </c>
      <c r="AA621">
        <v>9</v>
      </c>
      <c r="AB621">
        <v>3</v>
      </c>
      <c r="AC621">
        <v>0</v>
      </c>
      <c r="AD621">
        <v>10</v>
      </c>
      <c r="AE621">
        <v>0</v>
      </c>
      <c r="AF621">
        <v>3</v>
      </c>
      <c r="AG621">
        <v>2</v>
      </c>
      <c r="AH621">
        <v>0</v>
      </c>
      <c r="AI621" t="s">
        <v>722</v>
      </c>
      <c r="AJ621">
        <v>45.777562000000003</v>
      </c>
      <c r="AK621" t="s">
        <v>723</v>
      </c>
      <c r="AL621">
        <v>-89.302775999999994</v>
      </c>
      <c r="AM621">
        <v>100</v>
      </c>
      <c r="AN621">
        <v>11800</v>
      </c>
      <c r="AO621" t="s">
        <v>118</v>
      </c>
      <c r="AP621">
        <v>131</v>
      </c>
      <c r="AQ621">
        <v>104</v>
      </c>
      <c r="AR621">
        <v>1152</v>
      </c>
      <c r="AZ621">
        <v>1200</v>
      </c>
      <c r="BA621">
        <v>1</v>
      </c>
      <c r="BB621" t="str">
        <f t="shared" si="33"/>
        <v xml:space="preserve">N690LS  </v>
      </c>
      <c r="BC621">
        <v>1</v>
      </c>
      <c r="BE621">
        <v>0</v>
      </c>
      <c r="BF621">
        <v>0</v>
      </c>
      <c r="BG621">
        <v>0</v>
      </c>
      <c r="BH621">
        <v>12150</v>
      </c>
      <c r="BI621">
        <v>1</v>
      </c>
      <c r="BJ621">
        <v>1</v>
      </c>
      <c r="BK621">
        <v>1</v>
      </c>
      <c r="BL621">
        <v>0</v>
      </c>
      <c r="BO621">
        <v>0</v>
      </c>
      <c r="BP621">
        <v>0</v>
      </c>
      <c r="BW621" t="str">
        <f>"13:55:40.042"</f>
        <v>13:55:40.042</v>
      </c>
      <c r="CJ621">
        <v>0</v>
      </c>
      <c r="CK621">
        <v>2</v>
      </c>
      <c r="CL621">
        <v>0</v>
      </c>
      <c r="CM621">
        <v>2</v>
      </c>
      <c r="CN621">
        <v>0</v>
      </c>
      <c r="CO621">
        <v>7</v>
      </c>
      <c r="CP621" t="s">
        <v>119</v>
      </c>
      <c r="CQ621">
        <v>197</v>
      </c>
      <c r="CR621">
        <v>2</v>
      </c>
      <c r="CW621">
        <v>2365168</v>
      </c>
      <c r="CY621">
        <v>1</v>
      </c>
      <c r="CZ621">
        <v>0</v>
      </c>
      <c r="DA621">
        <v>0</v>
      </c>
      <c r="DB621">
        <v>0</v>
      </c>
      <c r="DC621">
        <v>0</v>
      </c>
      <c r="DD621">
        <v>1</v>
      </c>
      <c r="DE621">
        <v>0</v>
      </c>
      <c r="DF621">
        <v>0</v>
      </c>
      <c r="DG621">
        <v>0</v>
      </c>
      <c r="DH621">
        <v>0</v>
      </c>
      <c r="DI621">
        <v>0</v>
      </c>
    </row>
    <row r="622" spans="1:113" x14ac:dyDescent="0.3">
      <c r="A622" t="str">
        <f>"09/28/2021 13:55:40.309"</f>
        <v>09/28/2021 13:55:40.309</v>
      </c>
      <c r="C622" t="str">
        <f t="shared" si="32"/>
        <v>FFDFD3C0</v>
      </c>
      <c r="D622" t="s">
        <v>120</v>
      </c>
      <c r="E622">
        <v>12</v>
      </c>
      <c r="F622">
        <v>1012</v>
      </c>
      <c r="G622" t="s">
        <v>114</v>
      </c>
      <c r="J622" t="s">
        <v>121</v>
      </c>
      <c r="K622">
        <v>0</v>
      </c>
      <c r="L622">
        <v>3</v>
      </c>
      <c r="M622">
        <v>0</v>
      </c>
      <c r="N622">
        <v>2</v>
      </c>
      <c r="O622">
        <v>1</v>
      </c>
      <c r="P622">
        <v>0</v>
      </c>
      <c r="Q622">
        <v>0</v>
      </c>
      <c r="S622" t="str">
        <f>"13:55:40.039"</f>
        <v>13:55:40.039</v>
      </c>
      <c r="T622" t="str">
        <f>"13:55:39.639"</f>
        <v>13:55:39.639</v>
      </c>
      <c r="U622" t="str">
        <f t="shared" si="31"/>
        <v>A92BC1</v>
      </c>
      <c r="V622">
        <v>0</v>
      </c>
      <c r="W622">
        <v>0</v>
      </c>
      <c r="X622">
        <v>2</v>
      </c>
      <c r="Z622">
        <v>0</v>
      </c>
      <c r="AA622">
        <v>9</v>
      </c>
      <c r="AB622">
        <v>3</v>
      </c>
      <c r="AC622">
        <v>0</v>
      </c>
      <c r="AD622">
        <v>10</v>
      </c>
      <c r="AE622">
        <v>0</v>
      </c>
      <c r="AF622">
        <v>3</v>
      </c>
      <c r="AG622">
        <v>2</v>
      </c>
      <c r="AH622">
        <v>0</v>
      </c>
      <c r="AI622" t="s">
        <v>722</v>
      </c>
      <c r="AJ622">
        <v>45.777562000000003</v>
      </c>
      <c r="AK622" t="s">
        <v>723</v>
      </c>
      <c r="AL622">
        <v>-89.302775999999994</v>
      </c>
      <c r="AM622">
        <v>100</v>
      </c>
      <c r="AN622">
        <v>11800</v>
      </c>
      <c r="AO622" t="s">
        <v>118</v>
      </c>
      <c r="AP622">
        <v>131</v>
      </c>
      <c r="AQ622">
        <v>104</v>
      </c>
      <c r="AR622">
        <v>1152</v>
      </c>
      <c r="AZ622">
        <v>1200</v>
      </c>
      <c r="BA622">
        <v>1</v>
      </c>
      <c r="BB622" t="str">
        <f t="shared" si="33"/>
        <v xml:space="preserve">N690LS  </v>
      </c>
      <c r="BC622">
        <v>1</v>
      </c>
      <c r="BE622">
        <v>0</v>
      </c>
      <c r="BF622">
        <v>0</v>
      </c>
      <c r="BG622">
        <v>0</v>
      </c>
      <c r="BH622">
        <v>12150</v>
      </c>
      <c r="BI622">
        <v>1</v>
      </c>
      <c r="BJ622">
        <v>1</v>
      </c>
      <c r="BK622">
        <v>1</v>
      </c>
      <c r="BL622">
        <v>0</v>
      </c>
      <c r="BO622">
        <v>0</v>
      </c>
      <c r="BP622">
        <v>0</v>
      </c>
      <c r="BW622" t="str">
        <f>"13:55:40.042"</f>
        <v>13:55:40.042</v>
      </c>
      <c r="CJ622">
        <v>0</v>
      </c>
      <c r="CK622">
        <v>2</v>
      </c>
      <c r="CL622">
        <v>0</v>
      </c>
      <c r="CM622">
        <v>2</v>
      </c>
      <c r="CN622">
        <v>0</v>
      </c>
      <c r="CO622">
        <v>7</v>
      </c>
      <c r="CP622" t="s">
        <v>119</v>
      </c>
      <c r="CQ622">
        <v>197</v>
      </c>
      <c r="CR622">
        <v>2</v>
      </c>
      <c r="CW622">
        <v>2365168</v>
      </c>
      <c r="CY622">
        <v>1</v>
      </c>
      <c r="CZ622">
        <v>0</v>
      </c>
      <c r="DA622">
        <v>1</v>
      </c>
      <c r="DB622">
        <v>0</v>
      </c>
      <c r="DC622">
        <v>0</v>
      </c>
      <c r="DD622">
        <v>1</v>
      </c>
      <c r="DE622">
        <v>0</v>
      </c>
      <c r="DF622">
        <v>0</v>
      </c>
      <c r="DG622">
        <v>0</v>
      </c>
      <c r="DH622">
        <v>0</v>
      </c>
      <c r="DI622">
        <v>0</v>
      </c>
    </row>
    <row r="623" spans="1:113" x14ac:dyDescent="0.3">
      <c r="A623" t="str">
        <f>"09/28/2021 13:55:41.418"</f>
        <v>09/28/2021 13:55:41.418</v>
      </c>
      <c r="C623" t="str">
        <f t="shared" si="32"/>
        <v>FFDFD3C0</v>
      </c>
      <c r="D623" t="s">
        <v>120</v>
      </c>
      <c r="E623">
        <v>12</v>
      </c>
      <c r="F623">
        <v>1012</v>
      </c>
      <c r="G623" t="s">
        <v>114</v>
      </c>
      <c r="J623" t="s">
        <v>121</v>
      </c>
      <c r="K623">
        <v>0</v>
      </c>
      <c r="L623">
        <v>3</v>
      </c>
      <c r="M623">
        <v>0</v>
      </c>
      <c r="N623">
        <v>2</v>
      </c>
      <c r="O623">
        <v>1</v>
      </c>
      <c r="P623">
        <v>0</v>
      </c>
      <c r="Q623">
        <v>0</v>
      </c>
      <c r="S623" t="str">
        <f>"13:55:41.180"</f>
        <v>13:55:41.180</v>
      </c>
      <c r="T623" t="str">
        <f>"13:55:40.680"</f>
        <v>13:55:40.680</v>
      </c>
      <c r="U623" t="str">
        <f t="shared" si="31"/>
        <v>A92BC1</v>
      </c>
      <c r="V623">
        <v>0</v>
      </c>
      <c r="W623">
        <v>0</v>
      </c>
      <c r="X623">
        <v>2</v>
      </c>
      <c r="Z623">
        <v>0</v>
      </c>
      <c r="AA623">
        <v>9</v>
      </c>
      <c r="AB623">
        <v>3</v>
      </c>
      <c r="AC623">
        <v>0</v>
      </c>
      <c r="AD623">
        <v>10</v>
      </c>
      <c r="AE623">
        <v>0</v>
      </c>
      <c r="AF623">
        <v>3</v>
      </c>
      <c r="AG623">
        <v>2</v>
      </c>
      <c r="AH623">
        <v>0</v>
      </c>
      <c r="AI623" t="s">
        <v>724</v>
      </c>
      <c r="AJ623">
        <v>45.778098</v>
      </c>
      <c r="AK623" t="s">
        <v>725</v>
      </c>
      <c r="AL623">
        <v>-89.301766999999998</v>
      </c>
      <c r="AM623">
        <v>100</v>
      </c>
      <c r="AN623">
        <v>11800</v>
      </c>
      <c r="AO623" t="s">
        <v>118</v>
      </c>
      <c r="AP623">
        <v>132</v>
      </c>
      <c r="AQ623">
        <v>104</v>
      </c>
      <c r="AR623">
        <v>1152</v>
      </c>
      <c r="AZ623">
        <v>1200</v>
      </c>
      <c r="BA623">
        <v>1</v>
      </c>
      <c r="BB623" t="str">
        <f t="shared" si="33"/>
        <v xml:space="preserve">N690LS  </v>
      </c>
      <c r="BC623">
        <v>1</v>
      </c>
      <c r="BE623">
        <v>0</v>
      </c>
      <c r="BF623">
        <v>0</v>
      </c>
      <c r="BG623">
        <v>0</v>
      </c>
      <c r="BH623">
        <v>12175</v>
      </c>
      <c r="BI623">
        <v>1</v>
      </c>
      <c r="BJ623">
        <v>1</v>
      </c>
      <c r="BK623">
        <v>1</v>
      </c>
      <c r="BL623">
        <v>0</v>
      </c>
      <c r="BO623">
        <v>0</v>
      </c>
      <c r="BP623">
        <v>0</v>
      </c>
      <c r="BW623" t="str">
        <f>"13:55:41.184"</f>
        <v>13:55:41.184</v>
      </c>
      <c r="CJ623">
        <v>0</v>
      </c>
      <c r="CK623">
        <v>2</v>
      </c>
      <c r="CL623">
        <v>0</v>
      </c>
      <c r="CM623">
        <v>2</v>
      </c>
      <c r="CN623">
        <v>0</v>
      </c>
      <c r="CO623">
        <v>7</v>
      </c>
      <c r="CP623" t="s">
        <v>119</v>
      </c>
      <c r="CQ623">
        <v>197</v>
      </c>
      <c r="CR623">
        <v>2</v>
      </c>
      <c r="CW623">
        <v>2366184</v>
      </c>
      <c r="CY623">
        <v>1</v>
      </c>
      <c r="CZ623">
        <v>0</v>
      </c>
      <c r="DA623">
        <v>0</v>
      </c>
      <c r="DB623">
        <v>0</v>
      </c>
      <c r="DC623">
        <v>0</v>
      </c>
      <c r="DD623">
        <v>1</v>
      </c>
      <c r="DE623">
        <v>0</v>
      </c>
      <c r="DF623">
        <v>0</v>
      </c>
      <c r="DG623">
        <v>0</v>
      </c>
      <c r="DH623">
        <v>0</v>
      </c>
      <c r="DI623">
        <v>0</v>
      </c>
    </row>
    <row r="624" spans="1:113" x14ac:dyDescent="0.3">
      <c r="A624" t="str">
        <f>"09/28/2021 13:55:41.418"</f>
        <v>09/28/2021 13:55:41.418</v>
      </c>
      <c r="C624" t="str">
        <f t="shared" si="32"/>
        <v>FFDFD3C0</v>
      </c>
      <c r="D624" t="s">
        <v>113</v>
      </c>
      <c r="E624">
        <v>7</v>
      </c>
      <c r="H624">
        <v>170</v>
      </c>
      <c r="I624" t="s">
        <v>114</v>
      </c>
      <c r="J624" t="s">
        <v>115</v>
      </c>
      <c r="K624">
        <v>0</v>
      </c>
      <c r="L624">
        <v>3</v>
      </c>
      <c r="M624">
        <v>0</v>
      </c>
      <c r="N624">
        <v>2</v>
      </c>
      <c r="O624">
        <v>1</v>
      </c>
      <c r="P624">
        <v>0</v>
      </c>
      <c r="Q624">
        <v>0</v>
      </c>
      <c r="S624" t="str">
        <f>"13:55:41.180"</f>
        <v>13:55:41.180</v>
      </c>
      <c r="T624" t="str">
        <f>"13:55:40.680"</f>
        <v>13:55:40.680</v>
      </c>
      <c r="U624" t="str">
        <f t="shared" si="31"/>
        <v>A92BC1</v>
      </c>
      <c r="V624">
        <v>0</v>
      </c>
      <c r="W624">
        <v>0</v>
      </c>
      <c r="X624">
        <v>2</v>
      </c>
      <c r="Z624">
        <v>0</v>
      </c>
      <c r="AA624">
        <v>9</v>
      </c>
      <c r="AB624">
        <v>3</v>
      </c>
      <c r="AC624">
        <v>0</v>
      </c>
      <c r="AD624">
        <v>10</v>
      </c>
      <c r="AE624">
        <v>0</v>
      </c>
      <c r="AF624">
        <v>3</v>
      </c>
      <c r="AG624">
        <v>2</v>
      </c>
      <c r="AH624">
        <v>0</v>
      </c>
      <c r="AI624" t="s">
        <v>724</v>
      </c>
      <c r="AJ624">
        <v>45.778098</v>
      </c>
      <c r="AK624" t="s">
        <v>725</v>
      </c>
      <c r="AL624">
        <v>-89.301766999999998</v>
      </c>
      <c r="AM624">
        <v>100</v>
      </c>
      <c r="AN624">
        <v>11800</v>
      </c>
      <c r="AO624" t="s">
        <v>118</v>
      </c>
      <c r="AP624">
        <v>132</v>
      </c>
      <c r="AQ624">
        <v>104</v>
      </c>
      <c r="AR624">
        <v>1152</v>
      </c>
      <c r="AZ624">
        <v>1200</v>
      </c>
      <c r="BA624">
        <v>1</v>
      </c>
      <c r="BB624" t="str">
        <f t="shared" si="33"/>
        <v xml:space="preserve">N690LS  </v>
      </c>
      <c r="BC624">
        <v>1</v>
      </c>
      <c r="BE624">
        <v>0</v>
      </c>
      <c r="BF624">
        <v>0</v>
      </c>
      <c r="BG624">
        <v>0</v>
      </c>
      <c r="BH624">
        <v>12175</v>
      </c>
      <c r="BI624">
        <v>1</v>
      </c>
      <c r="BJ624">
        <v>1</v>
      </c>
      <c r="BK624">
        <v>1</v>
      </c>
      <c r="BL624">
        <v>0</v>
      </c>
      <c r="BO624">
        <v>0</v>
      </c>
      <c r="BP624">
        <v>0</v>
      </c>
      <c r="BW624" t="str">
        <f>"13:55:41.184"</f>
        <v>13:55:41.184</v>
      </c>
      <c r="CJ624">
        <v>0</v>
      </c>
      <c r="CK624">
        <v>2</v>
      </c>
      <c r="CL624">
        <v>0</v>
      </c>
      <c r="CM624">
        <v>2</v>
      </c>
      <c r="CN624">
        <v>0</v>
      </c>
      <c r="CO624">
        <v>7</v>
      </c>
      <c r="CP624" t="s">
        <v>119</v>
      </c>
      <c r="CQ624">
        <v>197</v>
      </c>
      <c r="CR624">
        <v>2</v>
      </c>
      <c r="CW624">
        <v>2366184</v>
      </c>
      <c r="CY624">
        <v>1</v>
      </c>
      <c r="CZ624">
        <v>0</v>
      </c>
      <c r="DA624">
        <v>1</v>
      </c>
      <c r="DB624">
        <v>0</v>
      </c>
      <c r="DC624">
        <v>0</v>
      </c>
      <c r="DD624">
        <v>1</v>
      </c>
      <c r="DE624">
        <v>0</v>
      </c>
      <c r="DF624">
        <v>0</v>
      </c>
      <c r="DG624">
        <v>0</v>
      </c>
      <c r="DH624">
        <v>0</v>
      </c>
      <c r="DI624">
        <v>0</v>
      </c>
    </row>
    <row r="625" spans="1:113" x14ac:dyDescent="0.3">
      <c r="A625" t="str">
        <f>"09/28/2021 13:55:42.479"</f>
        <v>09/28/2021 13:55:42.479</v>
      </c>
      <c r="C625" t="str">
        <f t="shared" si="32"/>
        <v>FFDFD3C0</v>
      </c>
      <c r="D625" t="s">
        <v>113</v>
      </c>
      <c r="E625">
        <v>7</v>
      </c>
      <c r="H625">
        <v>170</v>
      </c>
      <c r="I625" t="s">
        <v>114</v>
      </c>
      <c r="J625" t="s">
        <v>115</v>
      </c>
      <c r="K625">
        <v>0</v>
      </c>
      <c r="L625">
        <v>3</v>
      </c>
      <c r="M625">
        <v>0</v>
      </c>
      <c r="N625">
        <v>2</v>
      </c>
      <c r="O625">
        <v>1</v>
      </c>
      <c r="P625">
        <v>0</v>
      </c>
      <c r="Q625">
        <v>0</v>
      </c>
      <c r="S625" t="str">
        <f>"13:55:42.250"</f>
        <v>13:55:42.250</v>
      </c>
      <c r="T625" t="str">
        <f>"13:55:41.850"</f>
        <v>13:55:41.850</v>
      </c>
      <c r="U625" t="str">
        <f t="shared" si="31"/>
        <v>A92BC1</v>
      </c>
      <c r="V625">
        <v>0</v>
      </c>
      <c r="W625">
        <v>0</v>
      </c>
      <c r="X625">
        <v>2</v>
      </c>
      <c r="Z625">
        <v>0</v>
      </c>
      <c r="AA625">
        <v>9</v>
      </c>
      <c r="AB625">
        <v>3</v>
      </c>
      <c r="AC625">
        <v>0</v>
      </c>
      <c r="AD625">
        <v>10</v>
      </c>
      <c r="AE625">
        <v>0</v>
      </c>
      <c r="AF625">
        <v>3</v>
      </c>
      <c r="AG625">
        <v>2</v>
      </c>
      <c r="AH625">
        <v>0</v>
      </c>
      <c r="AI625" t="s">
        <v>726</v>
      </c>
      <c r="AJ625">
        <v>45.778635000000001</v>
      </c>
      <c r="AK625" t="s">
        <v>727</v>
      </c>
      <c r="AL625">
        <v>-89.300865999999999</v>
      </c>
      <c r="AM625">
        <v>100</v>
      </c>
      <c r="AN625">
        <v>11800</v>
      </c>
      <c r="AO625" t="s">
        <v>118</v>
      </c>
      <c r="AP625">
        <v>133</v>
      </c>
      <c r="AQ625">
        <v>104</v>
      </c>
      <c r="AR625">
        <v>1216</v>
      </c>
      <c r="AZ625">
        <v>1200</v>
      </c>
      <c r="BA625">
        <v>1</v>
      </c>
      <c r="BB625" t="str">
        <f t="shared" si="33"/>
        <v xml:space="preserve">N690LS  </v>
      </c>
      <c r="BC625">
        <v>1</v>
      </c>
      <c r="BE625">
        <v>0</v>
      </c>
      <c r="BF625">
        <v>0</v>
      </c>
      <c r="BG625">
        <v>0</v>
      </c>
      <c r="BH625">
        <v>12200</v>
      </c>
      <c r="BI625">
        <v>1</v>
      </c>
      <c r="BJ625">
        <v>1</v>
      </c>
      <c r="BK625">
        <v>1</v>
      </c>
      <c r="BL625">
        <v>0</v>
      </c>
      <c r="BO625">
        <v>0</v>
      </c>
      <c r="BP625">
        <v>0</v>
      </c>
      <c r="BW625" t="str">
        <f>"13:55:42.258"</f>
        <v>13:55:42.258</v>
      </c>
      <c r="CJ625">
        <v>0</v>
      </c>
      <c r="CK625">
        <v>2</v>
      </c>
      <c r="CL625">
        <v>0</v>
      </c>
      <c r="CM625">
        <v>2</v>
      </c>
      <c r="CN625">
        <v>0</v>
      </c>
      <c r="CO625">
        <v>7</v>
      </c>
      <c r="CP625" t="s">
        <v>119</v>
      </c>
      <c r="CQ625">
        <v>197</v>
      </c>
      <c r="CR625">
        <v>1</v>
      </c>
      <c r="CW625">
        <v>7304161</v>
      </c>
      <c r="CY625">
        <v>1</v>
      </c>
      <c r="CZ625">
        <v>0</v>
      </c>
      <c r="DA625">
        <v>0</v>
      </c>
      <c r="DB625">
        <v>0</v>
      </c>
      <c r="DC625">
        <v>0</v>
      </c>
      <c r="DD625">
        <v>1</v>
      </c>
      <c r="DE625">
        <v>0</v>
      </c>
      <c r="DF625">
        <v>0</v>
      </c>
      <c r="DG625">
        <v>0</v>
      </c>
      <c r="DH625">
        <v>0</v>
      </c>
      <c r="DI625">
        <v>0</v>
      </c>
    </row>
    <row r="626" spans="1:113" x14ac:dyDescent="0.3">
      <c r="A626" t="str">
        <f>"09/28/2021 13:55:42.479"</f>
        <v>09/28/2021 13:55:42.479</v>
      </c>
      <c r="C626" t="str">
        <f t="shared" si="32"/>
        <v>FFDFD3C0</v>
      </c>
      <c r="D626" t="s">
        <v>120</v>
      </c>
      <c r="E626">
        <v>12</v>
      </c>
      <c r="F626">
        <v>1012</v>
      </c>
      <c r="G626" t="s">
        <v>114</v>
      </c>
      <c r="J626" t="s">
        <v>121</v>
      </c>
      <c r="K626">
        <v>0</v>
      </c>
      <c r="L626">
        <v>3</v>
      </c>
      <c r="M626">
        <v>0</v>
      </c>
      <c r="N626">
        <v>2</v>
      </c>
      <c r="O626">
        <v>1</v>
      </c>
      <c r="P626">
        <v>0</v>
      </c>
      <c r="Q626">
        <v>0</v>
      </c>
      <c r="S626" t="str">
        <f>"13:55:42.250"</f>
        <v>13:55:42.250</v>
      </c>
      <c r="T626" t="str">
        <f>"13:55:41.850"</f>
        <v>13:55:41.850</v>
      </c>
      <c r="U626" t="str">
        <f t="shared" si="31"/>
        <v>A92BC1</v>
      </c>
      <c r="V626">
        <v>0</v>
      </c>
      <c r="W626">
        <v>0</v>
      </c>
      <c r="X626">
        <v>2</v>
      </c>
      <c r="Z626">
        <v>0</v>
      </c>
      <c r="AA626">
        <v>9</v>
      </c>
      <c r="AB626">
        <v>3</v>
      </c>
      <c r="AC626">
        <v>0</v>
      </c>
      <c r="AD626">
        <v>10</v>
      </c>
      <c r="AE626">
        <v>0</v>
      </c>
      <c r="AF626">
        <v>3</v>
      </c>
      <c r="AG626">
        <v>2</v>
      </c>
      <c r="AH626">
        <v>0</v>
      </c>
      <c r="AI626" t="s">
        <v>726</v>
      </c>
      <c r="AJ626">
        <v>45.778635000000001</v>
      </c>
      <c r="AK626" t="s">
        <v>727</v>
      </c>
      <c r="AL626">
        <v>-89.300865999999999</v>
      </c>
      <c r="AM626">
        <v>100</v>
      </c>
      <c r="AN626">
        <v>11800</v>
      </c>
      <c r="AO626" t="s">
        <v>118</v>
      </c>
      <c r="AP626">
        <v>133</v>
      </c>
      <c r="AQ626">
        <v>104</v>
      </c>
      <c r="AR626">
        <v>1216</v>
      </c>
      <c r="AZ626">
        <v>1200</v>
      </c>
      <c r="BA626">
        <v>1</v>
      </c>
      <c r="BB626" t="str">
        <f t="shared" si="33"/>
        <v xml:space="preserve">N690LS  </v>
      </c>
      <c r="BC626">
        <v>1</v>
      </c>
      <c r="BE626">
        <v>0</v>
      </c>
      <c r="BF626">
        <v>0</v>
      </c>
      <c r="BG626">
        <v>0</v>
      </c>
      <c r="BH626">
        <v>12200</v>
      </c>
      <c r="BI626">
        <v>1</v>
      </c>
      <c r="BJ626">
        <v>1</v>
      </c>
      <c r="BK626">
        <v>1</v>
      </c>
      <c r="BL626">
        <v>0</v>
      </c>
      <c r="BO626">
        <v>0</v>
      </c>
      <c r="BP626">
        <v>0</v>
      </c>
      <c r="BW626" t="str">
        <f>"13:55:42.258"</f>
        <v>13:55:42.258</v>
      </c>
      <c r="CJ626">
        <v>0</v>
      </c>
      <c r="CK626">
        <v>2</v>
      </c>
      <c r="CL626">
        <v>0</v>
      </c>
      <c r="CM626">
        <v>2</v>
      </c>
      <c r="CN626">
        <v>0</v>
      </c>
      <c r="CO626">
        <v>7</v>
      </c>
      <c r="CP626" t="s">
        <v>119</v>
      </c>
      <c r="CQ626">
        <v>197</v>
      </c>
      <c r="CR626">
        <v>1</v>
      </c>
      <c r="CW626">
        <v>7304161</v>
      </c>
      <c r="CY626">
        <v>1</v>
      </c>
      <c r="CZ626">
        <v>0</v>
      </c>
      <c r="DA626">
        <v>1</v>
      </c>
      <c r="DB626">
        <v>0</v>
      </c>
      <c r="DC626">
        <v>0</v>
      </c>
      <c r="DD626">
        <v>1</v>
      </c>
      <c r="DE626">
        <v>0</v>
      </c>
      <c r="DF626">
        <v>0</v>
      </c>
      <c r="DG626">
        <v>0</v>
      </c>
      <c r="DH626">
        <v>0</v>
      </c>
      <c r="DI626">
        <v>0</v>
      </c>
    </row>
    <row r="627" spans="1:113" x14ac:dyDescent="0.3">
      <c r="A627" t="str">
        <f>"09/28/2021 13:55:43.479"</f>
        <v>09/28/2021 13:55:43.479</v>
      </c>
      <c r="C627" t="str">
        <f t="shared" si="32"/>
        <v>FFDFD3C0</v>
      </c>
      <c r="D627" t="s">
        <v>120</v>
      </c>
      <c r="E627">
        <v>12</v>
      </c>
      <c r="F627">
        <v>1012</v>
      </c>
      <c r="G627" t="s">
        <v>114</v>
      </c>
      <c r="J627" t="s">
        <v>121</v>
      </c>
      <c r="K627">
        <v>0</v>
      </c>
      <c r="L627">
        <v>3</v>
      </c>
      <c r="M627">
        <v>0</v>
      </c>
      <c r="N627">
        <v>2</v>
      </c>
      <c r="O627">
        <v>1</v>
      </c>
      <c r="P627">
        <v>0</v>
      </c>
      <c r="Q627">
        <v>0</v>
      </c>
      <c r="S627" t="str">
        <f>"13:55:43.242"</f>
        <v>13:55:43.242</v>
      </c>
      <c r="T627" t="str">
        <f>"13:55:42.742"</f>
        <v>13:55:42.742</v>
      </c>
      <c r="U627" t="str">
        <f t="shared" si="31"/>
        <v>A92BC1</v>
      </c>
      <c r="V627">
        <v>0</v>
      </c>
      <c r="W627">
        <v>0</v>
      </c>
      <c r="X627">
        <v>2</v>
      </c>
      <c r="Z627">
        <v>0</v>
      </c>
      <c r="AA627">
        <v>9</v>
      </c>
      <c r="AB627">
        <v>3</v>
      </c>
      <c r="AC627">
        <v>0</v>
      </c>
      <c r="AD627">
        <v>10</v>
      </c>
      <c r="AE627">
        <v>0</v>
      </c>
      <c r="AF627">
        <v>3</v>
      </c>
      <c r="AG627">
        <v>2</v>
      </c>
      <c r="AH627">
        <v>0</v>
      </c>
      <c r="AI627" t="s">
        <v>728</v>
      </c>
      <c r="AJ627">
        <v>45.779107000000003</v>
      </c>
      <c r="AK627" t="s">
        <v>729</v>
      </c>
      <c r="AL627">
        <v>-89.299965</v>
      </c>
      <c r="AM627">
        <v>100</v>
      </c>
      <c r="AN627">
        <v>11800</v>
      </c>
      <c r="AO627" t="s">
        <v>118</v>
      </c>
      <c r="AP627">
        <v>134</v>
      </c>
      <c r="AQ627">
        <v>105</v>
      </c>
      <c r="AR627">
        <v>1216</v>
      </c>
      <c r="AZ627">
        <v>1200</v>
      </c>
      <c r="BA627">
        <v>1</v>
      </c>
      <c r="BB627" t="str">
        <f t="shared" si="33"/>
        <v xml:space="preserve">N690LS  </v>
      </c>
      <c r="BC627">
        <v>1</v>
      </c>
      <c r="BE627">
        <v>0</v>
      </c>
      <c r="BF627">
        <v>0</v>
      </c>
      <c r="BG627">
        <v>0</v>
      </c>
      <c r="BH627">
        <v>12200</v>
      </c>
      <c r="BI627">
        <v>1</v>
      </c>
      <c r="BJ627">
        <v>1</v>
      </c>
      <c r="BK627">
        <v>1</v>
      </c>
      <c r="BL627">
        <v>0</v>
      </c>
      <c r="BO627">
        <v>0</v>
      </c>
      <c r="BP627">
        <v>0</v>
      </c>
      <c r="BW627" t="str">
        <f>"13:55:43.244"</f>
        <v>13:55:43.244</v>
      </c>
      <c r="CJ627">
        <v>0</v>
      </c>
      <c r="CK627">
        <v>2</v>
      </c>
      <c r="CL627">
        <v>0</v>
      </c>
      <c r="CM627">
        <v>2</v>
      </c>
      <c r="CN627">
        <v>0</v>
      </c>
      <c r="CO627">
        <v>7</v>
      </c>
      <c r="CP627" t="s">
        <v>119</v>
      </c>
      <c r="CQ627">
        <v>197</v>
      </c>
      <c r="CR627">
        <v>1</v>
      </c>
      <c r="CW627">
        <v>7305289</v>
      </c>
      <c r="CY627">
        <v>1</v>
      </c>
      <c r="CZ627">
        <v>0</v>
      </c>
      <c r="DA627">
        <v>0</v>
      </c>
      <c r="DB627">
        <v>0</v>
      </c>
      <c r="DC627">
        <v>0</v>
      </c>
      <c r="DD627">
        <v>1</v>
      </c>
      <c r="DE627">
        <v>0</v>
      </c>
      <c r="DF627">
        <v>0</v>
      </c>
      <c r="DG627">
        <v>0</v>
      </c>
      <c r="DH627">
        <v>0</v>
      </c>
      <c r="DI627">
        <v>0</v>
      </c>
    </row>
    <row r="628" spans="1:113" x14ac:dyDescent="0.3">
      <c r="A628" t="str">
        <f>"09/28/2021 13:55:43.479"</f>
        <v>09/28/2021 13:55:43.479</v>
      </c>
      <c r="C628" t="str">
        <f t="shared" si="32"/>
        <v>FFDFD3C0</v>
      </c>
      <c r="D628" t="s">
        <v>113</v>
      </c>
      <c r="E628">
        <v>7</v>
      </c>
      <c r="H628">
        <v>170</v>
      </c>
      <c r="I628" t="s">
        <v>114</v>
      </c>
      <c r="J628" t="s">
        <v>115</v>
      </c>
      <c r="K628">
        <v>0</v>
      </c>
      <c r="L628">
        <v>3</v>
      </c>
      <c r="M628">
        <v>0</v>
      </c>
      <c r="N628">
        <v>2</v>
      </c>
      <c r="O628">
        <v>1</v>
      </c>
      <c r="P628">
        <v>0</v>
      </c>
      <c r="Q628">
        <v>0</v>
      </c>
      <c r="S628" t="str">
        <f>"13:55:43.242"</f>
        <v>13:55:43.242</v>
      </c>
      <c r="T628" t="str">
        <f>"13:55:42.742"</f>
        <v>13:55:42.742</v>
      </c>
      <c r="U628" t="str">
        <f t="shared" si="31"/>
        <v>A92BC1</v>
      </c>
      <c r="V628">
        <v>0</v>
      </c>
      <c r="W628">
        <v>0</v>
      </c>
      <c r="X628">
        <v>2</v>
      </c>
      <c r="Z628">
        <v>0</v>
      </c>
      <c r="AA628">
        <v>9</v>
      </c>
      <c r="AB628">
        <v>3</v>
      </c>
      <c r="AC628">
        <v>0</v>
      </c>
      <c r="AD628">
        <v>10</v>
      </c>
      <c r="AE628">
        <v>0</v>
      </c>
      <c r="AF628">
        <v>3</v>
      </c>
      <c r="AG628">
        <v>2</v>
      </c>
      <c r="AH628">
        <v>0</v>
      </c>
      <c r="AI628" t="s">
        <v>728</v>
      </c>
      <c r="AJ628">
        <v>45.779107000000003</v>
      </c>
      <c r="AK628" t="s">
        <v>729</v>
      </c>
      <c r="AL628">
        <v>-89.299965</v>
      </c>
      <c r="AM628">
        <v>100</v>
      </c>
      <c r="AN628">
        <v>11800</v>
      </c>
      <c r="AO628" t="s">
        <v>118</v>
      </c>
      <c r="AP628">
        <v>134</v>
      </c>
      <c r="AQ628">
        <v>105</v>
      </c>
      <c r="AR628">
        <v>1216</v>
      </c>
      <c r="AZ628">
        <v>1200</v>
      </c>
      <c r="BA628">
        <v>1</v>
      </c>
      <c r="BB628" t="str">
        <f t="shared" si="33"/>
        <v xml:space="preserve">N690LS  </v>
      </c>
      <c r="BC628">
        <v>1</v>
      </c>
      <c r="BE628">
        <v>0</v>
      </c>
      <c r="BF628">
        <v>0</v>
      </c>
      <c r="BG628">
        <v>0</v>
      </c>
      <c r="BH628">
        <v>12200</v>
      </c>
      <c r="BI628">
        <v>1</v>
      </c>
      <c r="BJ628">
        <v>1</v>
      </c>
      <c r="BK628">
        <v>1</v>
      </c>
      <c r="BL628">
        <v>0</v>
      </c>
      <c r="BO628">
        <v>0</v>
      </c>
      <c r="BP628">
        <v>0</v>
      </c>
      <c r="BW628" t="str">
        <f>"13:55:43.244"</f>
        <v>13:55:43.244</v>
      </c>
      <c r="CJ628">
        <v>0</v>
      </c>
      <c r="CK628">
        <v>2</v>
      </c>
      <c r="CL628">
        <v>0</v>
      </c>
      <c r="CM628">
        <v>2</v>
      </c>
      <c r="CN628">
        <v>0</v>
      </c>
      <c r="CO628">
        <v>7</v>
      </c>
      <c r="CP628" t="s">
        <v>119</v>
      </c>
      <c r="CQ628">
        <v>197</v>
      </c>
      <c r="CR628">
        <v>1</v>
      </c>
      <c r="CW628">
        <v>7305289</v>
      </c>
      <c r="CY628">
        <v>1</v>
      </c>
      <c r="CZ628">
        <v>0</v>
      </c>
      <c r="DA628">
        <v>1</v>
      </c>
      <c r="DB628">
        <v>0</v>
      </c>
      <c r="DC628">
        <v>0</v>
      </c>
      <c r="DD628">
        <v>1</v>
      </c>
      <c r="DE628">
        <v>0</v>
      </c>
      <c r="DF628">
        <v>0</v>
      </c>
      <c r="DG628">
        <v>0</v>
      </c>
      <c r="DH628">
        <v>0</v>
      </c>
      <c r="DI628">
        <v>0</v>
      </c>
    </row>
    <row r="629" spans="1:113" x14ac:dyDescent="0.3">
      <c r="A629" t="str">
        <f>"09/28/2021 13:55:44.483"</f>
        <v>09/28/2021 13:55:44.483</v>
      </c>
      <c r="C629" t="str">
        <f t="shared" si="32"/>
        <v>FFDFD3C0</v>
      </c>
      <c r="D629" t="s">
        <v>120</v>
      </c>
      <c r="E629">
        <v>12</v>
      </c>
      <c r="F629">
        <v>1012</v>
      </c>
      <c r="G629" t="s">
        <v>114</v>
      </c>
      <c r="J629" t="s">
        <v>121</v>
      </c>
      <c r="K629">
        <v>0</v>
      </c>
      <c r="L629">
        <v>3</v>
      </c>
      <c r="M629">
        <v>0</v>
      </c>
      <c r="N629">
        <v>2</v>
      </c>
      <c r="O629">
        <v>1</v>
      </c>
      <c r="P629">
        <v>0</v>
      </c>
      <c r="Q629">
        <v>0</v>
      </c>
      <c r="S629" t="str">
        <f>"13:55:44.250"</f>
        <v>13:55:44.250</v>
      </c>
      <c r="T629" t="str">
        <f>"13:55:43.750"</f>
        <v>13:55:43.750</v>
      </c>
      <c r="U629" t="str">
        <f t="shared" si="31"/>
        <v>A92BC1</v>
      </c>
      <c r="V629">
        <v>0</v>
      </c>
      <c r="W629">
        <v>0</v>
      </c>
      <c r="X629">
        <v>2</v>
      </c>
      <c r="Z629">
        <v>0</v>
      </c>
      <c r="AA629">
        <v>9</v>
      </c>
      <c r="AB629">
        <v>3</v>
      </c>
      <c r="AC629">
        <v>0</v>
      </c>
      <c r="AD629">
        <v>10</v>
      </c>
      <c r="AE629">
        <v>0</v>
      </c>
      <c r="AF629">
        <v>3</v>
      </c>
      <c r="AG629">
        <v>2</v>
      </c>
      <c r="AH629">
        <v>0</v>
      </c>
      <c r="AI629" t="s">
        <v>730</v>
      </c>
      <c r="AJ629">
        <v>45.779600000000002</v>
      </c>
      <c r="AK629" t="s">
        <v>731</v>
      </c>
      <c r="AL629">
        <v>-89.299064000000001</v>
      </c>
      <c r="AM629">
        <v>100</v>
      </c>
      <c r="AN629">
        <v>11900</v>
      </c>
      <c r="AO629" t="s">
        <v>118</v>
      </c>
      <c r="AP629">
        <v>134</v>
      </c>
      <c r="AQ629">
        <v>105</v>
      </c>
      <c r="AR629">
        <v>1216</v>
      </c>
      <c r="AZ629">
        <v>1200</v>
      </c>
      <c r="BA629">
        <v>1</v>
      </c>
      <c r="BB629" t="str">
        <f t="shared" si="33"/>
        <v xml:space="preserve">N690LS  </v>
      </c>
      <c r="BC629">
        <v>1</v>
      </c>
      <c r="BE629">
        <v>0</v>
      </c>
      <c r="BF629">
        <v>0</v>
      </c>
      <c r="BG629">
        <v>0</v>
      </c>
      <c r="BH629">
        <v>12225</v>
      </c>
      <c r="BI629">
        <v>1</v>
      </c>
      <c r="BJ629">
        <v>1</v>
      </c>
      <c r="BK629">
        <v>1</v>
      </c>
      <c r="BL629">
        <v>0</v>
      </c>
      <c r="BO629">
        <v>0</v>
      </c>
      <c r="BP629">
        <v>0</v>
      </c>
      <c r="BW629" t="str">
        <f>"13:55:44.256"</f>
        <v>13:55:44.256</v>
      </c>
      <c r="CJ629">
        <v>0</v>
      </c>
      <c r="CK629">
        <v>2</v>
      </c>
      <c r="CL629">
        <v>0</v>
      </c>
      <c r="CM629">
        <v>2</v>
      </c>
      <c r="CN629">
        <v>0</v>
      </c>
      <c r="CO629">
        <v>7</v>
      </c>
      <c r="CP629" t="s">
        <v>119</v>
      </c>
      <c r="CQ629">
        <v>197</v>
      </c>
      <c r="CR629">
        <v>1</v>
      </c>
      <c r="CW629">
        <v>7306399</v>
      </c>
      <c r="CY629">
        <v>1</v>
      </c>
      <c r="CZ629">
        <v>0</v>
      </c>
      <c r="DA629">
        <v>0</v>
      </c>
      <c r="DB629">
        <v>0</v>
      </c>
      <c r="DC629">
        <v>0</v>
      </c>
      <c r="DD629">
        <v>1</v>
      </c>
      <c r="DE629">
        <v>0</v>
      </c>
      <c r="DF629">
        <v>0</v>
      </c>
      <c r="DG629">
        <v>0</v>
      </c>
      <c r="DH629">
        <v>0</v>
      </c>
      <c r="DI629">
        <v>0</v>
      </c>
    </row>
    <row r="630" spans="1:113" x14ac:dyDescent="0.3">
      <c r="A630" t="str">
        <f>"09/28/2021 13:55:44.483"</f>
        <v>09/28/2021 13:55:44.483</v>
      </c>
      <c r="C630" t="str">
        <f t="shared" si="32"/>
        <v>FFDFD3C0</v>
      </c>
      <c r="D630" t="s">
        <v>113</v>
      </c>
      <c r="E630">
        <v>7</v>
      </c>
      <c r="H630">
        <v>170</v>
      </c>
      <c r="I630" t="s">
        <v>114</v>
      </c>
      <c r="J630" t="s">
        <v>115</v>
      </c>
      <c r="K630">
        <v>0</v>
      </c>
      <c r="L630">
        <v>3</v>
      </c>
      <c r="M630">
        <v>0</v>
      </c>
      <c r="N630">
        <v>2</v>
      </c>
      <c r="O630">
        <v>1</v>
      </c>
      <c r="P630">
        <v>0</v>
      </c>
      <c r="Q630">
        <v>0</v>
      </c>
      <c r="S630" t="str">
        <f>"13:55:44.250"</f>
        <v>13:55:44.250</v>
      </c>
      <c r="T630" t="str">
        <f>"13:55:43.750"</f>
        <v>13:55:43.750</v>
      </c>
      <c r="U630" t="str">
        <f t="shared" si="31"/>
        <v>A92BC1</v>
      </c>
      <c r="V630">
        <v>0</v>
      </c>
      <c r="W630">
        <v>0</v>
      </c>
      <c r="X630">
        <v>2</v>
      </c>
      <c r="Z630">
        <v>0</v>
      </c>
      <c r="AA630">
        <v>9</v>
      </c>
      <c r="AB630">
        <v>3</v>
      </c>
      <c r="AC630">
        <v>0</v>
      </c>
      <c r="AD630">
        <v>10</v>
      </c>
      <c r="AE630">
        <v>0</v>
      </c>
      <c r="AF630">
        <v>3</v>
      </c>
      <c r="AG630">
        <v>2</v>
      </c>
      <c r="AH630">
        <v>0</v>
      </c>
      <c r="AI630" t="s">
        <v>730</v>
      </c>
      <c r="AJ630">
        <v>45.779600000000002</v>
      </c>
      <c r="AK630" t="s">
        <v>731</v>
      </c>
      <c r="AL630">
        <v>-89.299064000000001</v>
      </c>
      <c r="AM630">
        <v>100</v>
      </c>
      <c r="AN630">
        <v>11900</v>
      </c>
      <c r="AO630" t="s">
        <v>118</v>
      </c>
      <c r="AP630">
        <v>134</v>
      </c>
      <c r="AQ630">
        <v>105</v>
      </c>
      <c r="AR630">
        <v>1216</v>
      </c>
      <c r="AZ630">
        <v>1200</v>
      </c>
      <c r="BA630">
        <v>1</v>
      </c>
      <c r="BB630" t="str">
        <f t="shared" si="33"/>
        <v xml:space="preserve">N690LS  </v>
      </c>
      <c r="BC630">
        <v>1</v>
      </c>
      <c r="BE630">
        <v>0</v>
      </c>
      <c r="BF630">
        <v>0</v>
      </c>
      <c r="BG630">
        <v>0</v>
      </c>
      <c r="BH630">
        <v>12225</v>
      </c>
      <c r="BI630">
        <v>1</v>
      </c>
      <c r="BJ630">
        <v>1</v>
      </c>
      <c r="BK630">
        <v>1</v>
      </c>
      <c r="BL630">
        <v>0</v>
      </c>
      <c r="BO630">
        <v>0</v>
      </c>
      <c r="BP630">
        <v>0</v>
      </c>
      <c r="BW630" t="str">
        <f>"13:55:44.256"</f>
        <v>13:55:44.256</v>
      </c>
      <c r="CJ630">
        <v>0</v>
      </c>
      <c r="CK630">
        <v>2</v>
      </c>
      <c r="CL630">
        <v>0</v>
      </c>
      <c r="CM630">
        <v>2</v>
      </c>
      <c r="CN630">
        <v>0</v>
      </c>
      <c r="CO630">
        <v>7</v>
      </c>
      <c r="CP630" t="s">
        <v>119</v>
      </c>
      <c r="CQ630">
        <v>197</v>
      </c>
      <c r="CR630">
        <v>1</v>
      </c>
      <c r="CW630">
        <v>7306399</v>
      </c>
      <c r="CY630">
        <v>1</v>
      </c>
      <c r="CZ630">
        <v>0</v>
      </c>
      <c r="DA630">
        <v>1</v>
      </c>
      <c r="DB630">
        <v>0</v>
      </c>
      <c r="DC630">
        <v>0</v>
      </c>
      <c r="DD630">
        <v>1</v>
      </c>
      <c r="DE630">
        <v>0</v>
      </c>
      <c r="DF630">
        <v>0</v>
      </c>
      <c r="DG630">
        <v>0</v>
      </c>
      <c r="DH630">
        <v>0</v>
      </c>
      <c r="DI630">
        <v>0</v>
      </c>
    </row>
    <row r="631" spans="1:113" x14ac:dyDescent="0.3">
      <c r="A631" t="str">
        <f>"09/28/2021 13:55:45.452"</f>
        <v>09/28/2021 13:55:45.452</v>
      </c>
      <c r="C631" t="str">
        <f t="shared" si="32"/>
        <v>FFDFD3C0</v>
      </c>
      <c r="D631" t="s">
        <v>113</v>
      </c>
      <c r="E631">
        <v>7</v>
      </c>
      <c r="H631">
        <v>170</v>
      </c>
      <c r="I631" t="s">
        <v>114</v>
      </c>
      <c r="J631" t="s">
        <v>115</v>
      </c>
      <c r="K631">
        <v>0</v>
      </c>
      <c r="L631">
        <v>3</v>
      </c>
      <c r="M631">
        <v>0</v>
      </c>
      <c r="N631">
        <v>2</v>
      </c>
      <c r="O631">
        <v>1</v>
      </c>
      <c r="P631">
        <v>0</v>
      </c>
      <c r="Q631">
        <v>0</v>
      </c>
      <c r="S631" t="str">
        <f>"13:55:45.273"</f>
        <v>13:55:45.273</v>
      </c>
      <c r="T631" t="str">
        <f>"13:55:44.773"</f>
        <v>13:55:44.773</v>
      </c>
      <c r="U631" t="str">
        <f t="shared" si="31"/>
        <v>A92BC1</v>
      </c>
      <c r="V631">
        <v>0</v>
      </c>
      <c r="W631">
        <v>0</v>
      </c>
      <c r="X631">
        <v>2</v>
      </c>
      <c r="Z631">
        <v>0</v>
      </c>
      <c r="AA631">
        <v>9</v>
      </c>
      <c r="AB631">
        <v>3</v>
      </c>
      <c r="AC631">
        <v>0</v>
      </c>
      <c r="AD631">
        <v>10</v>
      </c>
      <c r="AE631">
        <v>0</v>
      </c>
      <c r="AF631">
        <v>3</v>
      </c>
      <c r="AG631">
        <v>2</v>
      </c>
      <c r="AH631">
        <v>0</v>
      </c>
      <c r="AI631" t="s">
        <v>732</v>
      </c>
      <c r="AJ631">
        <v>45.780071999999997</v>
      </c>
      <c r="AK631" t="s">
        <v>733</v>
      </c>
      <c r="AL631">
        <v>-89.298184000000006</v>
      </c>
      <c r="AM631">
        <v>100</v>
      </c>
      <c r="AN631">
        <v>11900</v>
      </c>
      <c r="AO631" t="s">
        <v>118</v>
      </c>
      <c r="AP631">
        <v>135</v>
      </c>
      <c r="AQ631">
        <v>105</v>
      </c>
      <c r="AR631">
        <v>1216</v>
      </c>
      <c r="AZ631">
        <v>1200</v>
      </c>
      <c r="BA631">
        <v>1</v>
      </c>
      <c r="BB631" t="str">
        <f t="shared" si="33"/>
        <v xml:space="preserve">N690LS  </v>
      </c>
      <c r="BC631">
        <v>1</v>
      </c>
      <c r="BE631">
        <v>0</v>
      </c>
      <c r="BF631">
        <v>0</v>
      </c>
      <c r="BG631">
        <v>0</v>
      </c>
      <c r="BH631">
        <v>12250</v>
      </c>
      <c r="BI631">
        <v>1</v>
      </c>
      <c r="BJ631">
        <v>1</v>
      </c>
      <c r="BK631">
        <v>1</v>
      </c>
      <c r="BL631">
        <v>0</v>
      </c>
      <c r="BO631">
        <v>0</v>
      </c>
      <c r="BP631">
        <v>0</v>
      </c>
      <c r="BW631" t="str">
        <f>"13:55:45.279"</f>
        <v>13:55:45.279</v>
      </c>
      <c r="CJ631">
        <v>0</v>
      </c>
      <c r="CK631">
        <v>2</v>
      </c>
      <c r="CL631">
        <v>0</v>
      </c>
      <c r="CM631">
        <v>2</v>
      </c>
      <c r="CN631">
        <v>0</v>
      </c>
      <c r="CO631">
        <v>7</v>
      </c>
      <c r="CP631" t="s">
        <v>119</v>
      </c>
      <c r="CQ631">
        <v>197</v>
      </c>
      <c r="CR631">
        <v>1</v>
      </c>
      <c r="CW631">
        <v>7307430</v>
      </c>
      <c r="CY631">
        <v>1</v>
      </c>
      <c r="CZ631">
        <v>0</v>
      </c>
      <c r="DA631">
        <v>0</v>
      </c>
      <c r="DB631">
        <v>0</v>
      </c>
      <c r="DC631">
        <v>0</v>
      </c>
      <c r="DD631">
        <v>1</v>
      </c>
      <c r="DE631">
        <v>0</v>
      </c>
      <c r="DF631">
        <v>0</v>
      </c>
      <c r="DG631">
        <v>0</v>
      </c>
      <c r="DH631">
        <v>0</v>
      </c>
      <c r="DI631">
        <v>0</v>
      </c>
    </row>
    <row r="632" spans="1:113" x14ac:dyDescent="0.3">
      <c r="A632" t="str">
        <f>"09/28/2021 13:55:45.530"</f>
        <v>09/28/2021 13:55:45.530</v>
      </c>
      <c r="C632" t="str">
        <f t="shared" si="32"/>
        <v>FFDFD3C0</v>
      </c>
      <c r="D632" t="s">
        <v>120</v>
      </c>
      <c r="E632">
        <v>12</v>
      </c>
      <c r="F632">
        <v>1012</v>
      </c>
      <c r="G632" t="s">
        <v>114</v>
      </c>
      <c r="J632" t="s">
        <v>121</v>
      </c>
      <c r="K632">
        <v>0</v>
      </c>
      <c r="L632">
        <v>3</v>
      </c>
      <c r="M632">
        <v>0</v>
      </c>
      <c r="N632">
        <v>2</v>
      </c>
      <c r="O632">
        <v>1</v>
      </c>
      <c r="P632">
        <v>0</v>
      </c>
      <c r="Q632">
        <v>0</v>
      </c>
      <c r="S632" t="str">
        <f>"13:55:45.273"</f>
        <v>13:55:45.273</v>
      </c>
      <c r="T632" t="str">
        <f>"13:55:44.773"</f>
        <v>13:55:44.773</v>
      </c>
      <c r="U632" t="str">
        <f t="shared" si="31"/>
        <v>A92BC1</v>
      </c>
      <c r="V632">
        <v>0</v>
      </c>
      <c r="W632">
        <v>0</v>
      </c>
      <c r="X632">
        <v>2</v>
      </c>
      <c r="Z632">
        <v>0</v>
      </c>
      <c r="AA632">
        <v>9</v>
      </c>
      <c r="AB632">
        <v>3</v>
      </c>
      <c r="AC632">
        <v>0</v>
      </c>
      <c r="AD632">
        <v>10</v>
      </c>
      <c r="AE632">
        <v>0</v>
      </c>
      <c r="AF632">
        <v>3</v>
      </c>
      <c r="AG632">
        <v>2</v>
      </c>
      <c r="AH632">
        <v>0</v>
      </c>
      <c r="AI632" t="s">
        <v>732</v>
      </c>
      <c r="AJ632">
        <v>45.780071999999997</v>
      </c>
      <c r="AK632" t="s">
        <v>733</v>
      </c>
      <c r="AL632">
        <v>-89.298184000000006</v>
      </c>
      <c r="AM632">
        <v>100</v>
      </c>
      <c r="AN632">
        <v>11900</v>
      </c>
      <c r="AO632" t="s">
        <v>118</v>
      </c>
      <c r="AP632">
        <v>135</v>
      </c>
      <c r="AQ632">
        <v>105</v>
      </c>
      <c r="AR632">
        <v>1216</v>
      </c>
      <c r="AZ632">
        <v>1200</v>
      </c>
      <c r="BA632">
        <v>1</v>
      </c>
      <c r="BB632" t="str">
        <f t="shared" si="33"/>
        <v xml:space="preserve">N690LS  </v>
      </c>
      <c r="BC632">
        <v>1</v>
      </c>
      <c r="BE632">
        <v>0</v>
      </c>
      <c r="BF632">
        <v>0</v>
      </c>
      <c r="BG632">
        <v>0</v>
      </c>
      <c r="BH632">
        <v>12250</v>
      </c>
      <c r="BI632">
        <v>1</v>
      </c>
      <c r="BJ632">
        <v>1</v>
      </c>
      <c r="BK632">
        <v>1</v>
      </c>
      <c r="BL632">
        <v>0</v>
      </c>
      <c r="BO632">
        <v>0</v>
      </c>
      <c r="BP632">
        <v>0</v>
      </c>
      <c r="BW632" t="str">
        <f>"13:55:45.279"</f>
        <v>13:55:45.279</v>
      </c>
      <c r="CJ632">
        <v>0</v>
      </c>
      <c r="CK632">
        <v>2</v>
      </c>
      <c r="CL632">
        <v>0</v>
      </c>
      <c r="CM632">
        <v>2</v>
      </c>
      <c r="CN632">
        <v>0</v>
      </c>
      <c r="CO632">
        <v>7</v>
      </c>
      <c r="CP632" t="s">
        <v>119</v>
      </c>
      <c r="CQ632">
        <v>197</v>
      </c>
      <c r="CR632">
        <v>1</v>
      </c>
      <c r="CW632">
        <v>7307430</v>
      </c>
      <c r="CY632">
        <v>1</v>
      </c>
      <c r="CZ632">
        <v>0</v>
      </c>
      <c r="DA632">
        <v>1</v>
      </c>
      <c r="DB632">
        <v>0</v>
      </c>
      <c r="DC632">
        <v>0</v>
      </c>
      <c r="DD632">
        <v>1</v>
      </c>
      <c r="DE632">
        <v>0</v>
      </c>
      <c r="DF632">
        <v>0</v>
      </c>
      <c r="DG632">
        <v>0</v>
      </c>
      <c r="DH632">
        <v>0</v>
      </c>
      <c r="DI632">
        <v>0</v>
      </c>
    </row>
    <row r="633" spans="1:113" x14ac:dyDescent="0.3">
      <c r="A633" t="str">
        <f>"09/28/2021 13:55:46.468"</f>
        <v>09/28/2021 13:55:46.468</v>
      </c>
      <c r="C633" t="str">
        <f t="shared" si="32"/>
        <v>FFDFD3C0</v>
      </c>
      <c r="D633" t="s">
        <v>120</v>
      </c>
      <c r="E633">
        <v>12</v>
      </c>
      <c r="F633">
        <v>1012</v>
      </c>
      <c r="G633" t="s">
        <v>114</v>
      </c>
      <c r="J633" t="s">
        <v>121</v>
      </c>
      <c r="K633">
        <v>0</v>
      </c>
      <c r="L633">
        <v>3</v>
      </c>
      <c r="M633">
        <v>0</v>
      </c>
      <c r="N633">
        <v>2</v>
      </c>
      <c r="O633">
        <v>1</v>
      </c>
      <c r="P633">
        <v>0</v>
      </c>
      <c r="Q633">
        <v>0</v>
      </c>
      <c r="S633" t="str">
        <f>"13:55:46.258"</f>
        <v>13:55:46.258</v>
      </c>
      <c r="T633" t="str">
        <f>"13:55:45.858"</f>
        <v>13:55:45.858</v>
      </c>
      <c r="U633" t="str">
        <f t="shared" si="31"/>
        <v>A92BC1</v>
      </c>
      <c r="V633">
        <v>0</v>
      </c>
      <c r="W633">
        <v>0</v>
      </c>
      <c r="X633">
        <v>2</v>
      </c>
      <c r="Z633">
        <v>0</v>
      </c>
      <c r="AA633">
        <v>9</v>
      </c>
      <c r="AB633">
        <v>3</v>
      </c>
      <c r="AC633">
        <v>0</v>
      </c>
      <c r="AD633">
        <v>10</v>
      </c>
      <c r="AE633">
        <v>0</v>
      </c>
      <c r="AF633">
        <v>3</v>
      </c>
      <c r="AG633">
        <v>2</v>
      </c>
      <c r="AH633">
        <v>0</v>
      </c>
      <c r="AI633" t="s">
        <v>734</v>
      </c>
      <c r="AJ633">
        <v>45.780586999999997</v>
      </c>
      <c r="AK633" t="s">
        <v>735</v>
      </c>
      <c r="AL633">
        <v>-89.297282999999993</v>
      </c>
      <c r="AM633">
        <v>100</v>
      </c>
      <c r="AN633">
        <v>11900</v>
      </c>
      <c r="AO633" t="s">
        <v>118</v>
      </c>
      <c r="AP633">
        <v>136</v>
      </c>
      <c r="AQ633">
        <v>105</v>
      </c>
      <c r="AR633">
        <v>1216</v>
      </c>
      <c r="AZ633">
        <v>1200</v>
      </c>
      <c r="BA633">
        <v>1</v>
      </c>
      <c r="BB633" t="str">
        <f t="shared" si="33"/>
        <v xml:space="preserve">N690LS  </v>
      </c>
      <c r="BC633">
        <v>1</v>
      </c>
      <c r="BE633">
        <v>0</v>
      </c>
      <c r="BF633">
        <v>0</v>
      </c>
      <c r="BG633">
        <v>0</v>
      </c>
      <c r="BH633">
        <v>12275</v>
      </c>
      <c r="BI633">
        <v>1</v>
      </c>
      <c r="BJ633">
        <v>1</v>
      </c>
      <c r="BK633">
        <v>1</v>
      </c>
      <c r="BL633">
        <v>0</v>
      </c>
      <c r="BO633">
        <v>0</v>
      </c>
      <c r="BP633">
        <v>0</v>
      </c>
      <c r="BW633" t="str">
        <f>"13:55:46.264"</f>
        <v>13:55:46.264</v>
      </c>
      <c r="CJ633">
        <v>0</v>
      </c>
      <c r="CK633">
        <v>2</v>
      </c>
      <c r="CL633">
        <v>0</v>
      </c>
      <c r="CM633">
        <v>2</v>
      </c>
      <c r="CN633">
        <v>0</v>
      </c>
      <c r="CO633">
        <v>7</v>
      </c>
      <c r="CP633" t="s">
        <v>119</v>
      </c>
      <c r="CQ633">
        <v>197</v>
      </c>
      <c r="CR633">
        <v>1</v>
      </c>
      <c r="CW633">
        <v>7308567</v>
      </c>
      <c r="CY633">
        <v>1</v>
      </c>
      <c r="CZ633">
        <v>0</v>
      </c>
      <c r="DA633">
        <v>0</v>
      </c>
      <c r="DB633">
        <v>0</v>
      </c>
      <c r="DC633">
        <v>0</v>
      </c>
      <c r="DD633">
        <v>1</v>
      </c>
      <c r="DE633">
        <v>0</v>
      </c>
      <c r="DF633">
        <v>0</v>
      </c>
      <c r="DG633">
        <v>0</v>
      </c>
      <c r="DH633">
        <v>0</v>
      </c>
      <c r="DI633">
        <v>0</v>
      </c>
    </row>
    <row r="634" spans="1:113" x14ac:dyDescent="0.3">
      <c r="A634" t="str">
        <f>"09/28/2021 13:55:46.468"</f>
        <v>09/28/2021 13:55:46.468</v>
      </c>
      <c r="C634" t="str">
        <f t="shared" si="32"/>
        <v>FFDFD3C0</v>
      </c>
      <c r="D634" t="s">
        <v>113</v>
      </c>
      <c r="E634">
        <v>7</v>
      </c>
      <c r="H634">
        <v>170</v>
      </c>
      <c r="I634" t="s">
        <v>114</v>
      </c>
      <c r="J634" t="s">
        <v>115</v>
      </c>
      <c r="K634">
        <v>0</v>
      </c>
      <c r="L634">
        <v>3</v>
      </c>
      <c r="M634">
        <v>0</v>
      </c>
      <c r="N634">
        <v>2</v>
      </c>
      <c r="O634">
        <v>1</v>
      </c>
      <c r="P634">
        <v>0</v>
      </c>
      <c r="Q634">
        <v>0</v>
      </c>
      <c r="S634" t="str">
        <f>"13:55:46.258"</f>
        <v>13:55:46.258</v>
      </c>
      <c r="T634" t="str">
        <f>"13:55:45.858"</f>
        <v>13:55:45.858</v>
      </c>
      <c r="U634" t="str">
        <f t="shared" si="31"/>
        <v>A92BC1</v>
      </c>
      <c r="V634">
        <v>0</v>
      </c>
      <c r="W634">
        <v>0</v>
      </c>
      <c r="X634">
        <v>2</v>
      </c>
      <c r="Z634">
        <v>0</v>
      </c>
      <c r="AA634">
        <v>9</v>
      </c>
      <c r="AB634">
        <v>3</v>
      </c>
      <c r="AC634">
        <v>0</v>
      </c>
      <c r="AD634">
        <v>10</v>
      </c>
      <c r="AE634">
        <v>0</v>
      </c>
      <c r="AF634">
        <v>3</v>
      </c>
      <c r="AG634">
        <v>2</v>
      </c>
      <c r="AH634">
        <v>0</v>
      </c>
      <c r="AI634" t="s">
        <v>734</v>
      </c>
      <c r="AJ634">
        <v>45.780586999999997</v>
      </c>
      <c r="AK634" t="s">
        <v>735</v>
      </c>
      <c r="AL634">
        <v>-89.297282999999993</v>
      </c>
      <c r="AM634">
        <v>100</v>
      </c>
      <c r="AN634">
        <v>11900</v>
      </c>
      <c r="AO634" t="s">
        <v>118</v>
      </c>
      <c r="AP634">
        <v>136</v>
      </c>
      <c r="AQ634">
        <v>105</v>
      </c>
      <c r="AR634">
        <v>1216</v>
      </c>
      <c r="AZ634">
        <v>1200</v>
      </c>
      <c r="BA634">
        <v>1</v>
      </c>
      <c r="BB634" t="str">
        <f t="shared" si="33"/>
        <v xml:space="preserve">N690LS  </v>
      </c>
      <c r="BC634">
        <v>1</v>
      </c>
      <c r="BE634">
        <v>0</v>
      </c>
      <c r="BF634">
        <v>0</v>
      </c>
      <c r="BG634">
        <v>0</v>
      </c>
      <c r="BH634">
        <v>12275</v>
      </c>
      <c r="BI634">
        <v>1</v>
      </c>
      <c r="BJ634">
        <v>1</v>
      </c>
      <c r="BK634">
        <v>1</v>
      </c>
      <c r="BL634">
        <v>0</v>
      </c>
      <c r="BO634">
        <v>0</v>
      </c>
      <c r="BP634">
        <v>0</v>
      </c>
      <c r="BW634" t="str">
        <f>"13:55:46.264"</f>
        <v>13:55:46.264</v>
      </c>
      <c r="CJ634">
        <v>0</v>
      </c>
      <c r="CK634">
        <v>2</v>
      </c>
      <c r="CL634">
        <v>0</v>
      </c>
      <c r="CM634">
        <v>2</v>
      </c>
      <c r="CN634">
        <v>0</v>
      </c>
      <c r="CO634">
        <v>7</v>
      </c>
      <c r="CP634" t="s">
        <v>119</v>
      </c>
      <c r="CQ634">
        <v>197</v>
      </c>
      <c r="CR634">
        <v>1</v>
      </c>
      <c r="CW634">
        <v>7308567</v>
      </c>
      <c r="CY634">
        <v>1</v>
      </c>
      <c r="CZ634">
        <v>0</v>
      </c>
      <c r="DA634">
        <v>1</v>
      </c>
      <c r="DB634">
        <v>0</v>
      </c>
      <c r="DC634">
        <v>0</v>
      </c>
      <c r="DD634">
        <v>1</v>
      </c>
      <c r="DE634">
        <v>0</v>
      </c>
      <c r="DF634">
        <v>0</v>
      </c>
      <c r="DG634">
        <v>0</v>
      </c>
      <c r="DH634">
        <v>0</v>
      </c>
      <c r="DI634">
        <v>0</v>
      </c>
    </row>
    <row r="635" spans="1:113" x14ac:dyDescent="0.3">
      <c r="A635" t="str">
        <f>"09/28/2021 13:55:47.476"</f>
        <v>09/28/2021 13:55:47.476</v>
      </c>
      <c r="C635" t="str">
        <f t="shared" si="32"/>
        <v>FFDFD3C0</v>
      </c>
      <c r="D635" t="s">
        <v>120</v>
      </c>
      <c r="E635">
        <v>12</v>
      </c>
      <c r="F635">
        <v>1012</v>
      </c>
      <c r="G635" t="s">
        <v>114</v>
      </c>
      <c r="J635" t="s">
        <v>121</v>
      </c>
      <c r="K635">
        <v>0</v>
      </c>
      <c r="L635">
        <v>3</v>
      </c>
      <c r="M635">
        <v>0</v>
      </c>
      <c r="N635">
        <v>2</v>
      </c>
      <c r="O635">
        <v>1</v>
      </c>
      <c r="P635">
        <v>0</v>
      </c>
      <c r="Q635">
        <v>0</v>
      </c>
      <c r="S635" t="str">
        <f>"13:55:47.281"</f>
        <v>13:55:47.281</v>
      </c>
      <c r="T635" t="str">
        <f>"13:55:46.881"</f>
        <v>13:55:46.881</v>
      </c>
      <c r="U635" t="str">
        <f t="shared" si="31"/>
        <v>A92BC1</v>
      </c>
      <c r="V635">
        <v>0</v>
      </c>
      <c r="W635">
        <v>0</v>
      </c>
      <c r="X635">
        <v>2</v>
      </c>
      <c r="Z635">
        <v>0</v>
      </c>
      <c r="AA635">
        <v>9</v>
      </c>
      <c r="AB635">
        <v>3</v>
      </c>
      <c r="AC635">
        <v>0</v>
      </c>
      <c r="AD635">
        <v>10</v>
      </c>
      <c r="AE635">
        <v>0</v>
      </c>
      <c r="AF635">
        <v>3</v>
      </c>
      <c r="AG635">
        <v>2</v>
      </c>
      <c r="AH635">
        <v>0</v>
      </c>
      <c r="AI635" t="s">
        <v>736</v>
      </c>
      <c r="AJ635">
        <v>45.781058999999999</v>
      </c>
      <c r="AK635" t="s">
        <v>737</v>
      </c>
      <c r="AL635">
        <v>-89.296317000000002</v>
      </c>
      <c r="AM635">
        <v>100</v>
      </c>
      <c r="AN635">
        <v>11900</v>
      </c>
      <c r="AO635" t="s">
        <v>118</v>
      </c>
      <c r="AP635">
        <v>136</v>
      </c>
      <c r="AQ635">
        <v>105</v>
      </c>
      <c r="AR635">
        <v>1216</v>
      </c>
      <c r="AZ635">
        <v>1200</v>
      </c>
      <c r="BA635">
        <v>1</v>
      </c>
      <c r="BB635" t="str">
        <f t="shared" si="33"/>
        <v xml:space="preserve">N690LS  </v>
      </c>
      <c r="BC635">
        <v>1</v>
      </c>
      <c r="BE635">
        <v>0</v>
      </c>
      <c r="BF635">
        <v>0</v>
      </c>
      <c r="BG635">
        <v>0</v>
      </c>
      <c r="BH635">
        <v>12300</v>
      </c>
      <c r="BI635">
        <v>1</v>
      </c>
      <c r="BJ635">
        <v>1</v>
      </c>
      <c r="BK635">
        <v>1</v>
      </c>
      <c r="BL635">
        <v>0</v>
      </c>
      <c r="BO635">
        <v>0</v>
      </c>
      <c r="BP635">
        <v>0</v>
      </c>
      <c r="BW635" t="str">
        <f>"13:55:47.288"</f>
        <v>13:55:47.288</v>
      </c>
      <c r="CJ635">
        <v>0</v>
      </c>
      <c r="CK635">
        <v>2</v>
      </c>
      <c r="CL635">
        <v>0</v>
      </c>
      <c r="CM635">
        <v>2</v>
      </c>
      <c r="CN635">
        <v>0</v>
      </c>
      <c r="CO635">
        <v>7</v>
      </c>
      <c r="CP635" t="s">
        <v>119</v>
      </c>
      <c r="CQ635">
        <v>197</v>
      </c>
      <c r="CR635">
        <v>0</v>
      </c>
      <c r="CW635">
        <v>16029934</v>
      </c>
      <c r="CY635">
        <v>1</v>
      </c>
      <c r="CZ635">
        <v>0</v>
      </c>
      <c r="DA635">
        <v>0</v>
      </c>
      <c r="DB635">
        <v>0</v>
      </c>
      <c r="DC635">
        <v>0</v>
      </c>
      <c r="DD635">
        <v>1</v>
      </c>
      <c r="DE635">
        <v>0</v>
      </c>
      <c r="DF635">
        <v>0</v>
      </c>
      <c r="DG635">
        <v>0</v>
      </c>
      <c r="DH635">
        <v>0</v>
      </c>
      <c r="DI635">
        <v>0</v>
      </c>
    </row>
    <row r="636" spans="1:113" x14ac:dyDescent="0.3">
      <c r="A636" t="str">
        <f>"09/28/2021 13:55:47.476"</f>
        <v>09/28/2021 13:55:47.476</v>
      </c>
      <c r="C636" t="str">
        <f t="shared" si="32"/>
        <v>FFDFD3C0</v>
      </c>
      <c r="D636" t="s">
        <v>113</v>
      </c>
      <c r="E636">
        <v>7</v>
      </c>
      <c r="H636">
        <v>170</v>
      </c>
      <c r="I636" t="s">
        <v>114</v>
      </c>
      <c r="J636" t="s">
        <v>115</v>
      </c>
      <c r="K636">
        <v>0</v>
      </c>
      <c r="L636">
        <v>3</v>
      </c>
      <c r="M636">
        <v>0</v>
      </c>
      <c r="N636">
        <v>2</v>
      </c>
      <c r="O636">
        <v>1</v>
      </c>
      <c r="P636">
        <v>0</v>
      </c>
      <c r="Q636">
        <v>0</v>
      </c>
      <c r="S636" t="str">
        <f>"13:55:47.281"</f>
        <v>13:55:47.281</v>
      </c>
      <c r="T636" t="str">
        <f>"13:55:46.881"</f>
        <v>13:55:46.881</v>
      </c>
      <c r="U636" t="str">
        <f t="shared" si="31"/>
        <v>A92BC1</v>
      </c>
      <c r="V636">
        <v>0</v>
      </c>
      <c r="W636">
        <v>0</v>
      </c>
      <c r="X636">
        <v>2</v>
      </c>
      <c r="Z636">
        <v>0</v>
      </c>
      <c r="AA636">
        <v>9</v>
      </c>
      <c r="AB636">
        <v>3</v>
      </c>
      <c r="AC636">
        <v>0</v>
      </c>
      <c r="AD636">
        <v>10</v>
      </c>
      <c r="AE636">
        <v>0</v>
      </c>
      <c r="AF636">
        <v>3</v>
      </c>
      <c r="AG636">
        <v>2</v>
      </c>
      <c r="AH636">
        <v>0</v>
      </c>
      <c r="AI636" t="s">
        <v>736</v>
      </c>
      <c r="AJ636">
        <v>45.781058999999999</v>
      </c>
      <c r="AK636" t="s">
        <v>737</v>
      </c>
      <c r="AL636">
        <v>-89.296317000000002</v>
      </c>
      <c r="AM636">
        <v>100</v>
      </c>
      <c r="AN636">
        <v>11900</v>
      </c>
      <c r="AO636" t="s">
        <v>118</v>
      </c>
      <c r="AP636">
        <v>136</v>
      </c>
      <c r="AQ636">
        <v>105</v>
      </c>
      <c r="AR636">
        <v>1216</v>
      </c>
      <c r="AZ636">
        <v>1200</v>
      </c>
      <c r="BA636">
        <v>1</v>
      </c>
      <c r="BB636" t="str">
        <f t="shared" si="33"/>
        <v xml:space="preserve">N690LS  </v>
      </c>
      <c r="BC636">
        <v>1</v>
      </c>
      <c r="BE636">
        <v>0</v>
      </c>
      <c r="BF636">
        <v>0</v>
      </c>
      <c r="BG636">
        <v>0</v>
      </c>
      <c r="BH636">
        <v>12300</v>
      </c>
      <c r="BI636">
        <v>1</v>
      </c>
      <c r="BJ636">
        <v>1</v>
      </c>
      <c r="BK636">
        <v>1</v>
      </c>
      <c r="BL636">
        <v>0</v>
      </c>
      <c r="BO636">
        <v>0</v>
      </c>
      <c r="BP636">
        <v>0</v>
      </c>
      <c r="BW636" t="str">
        <f>"13:55:47.288"</f>
        <v>13:55:47.288</v>
      </c>
      <c r="CJ636">
        <v>0</v>
      </c>
      <c r="CK636">
        <v>2</v>
      </c>
      <c r="CL636">
        <v>0</v>
      </c>
      <c r="CM636">
        <v>2</v>
      </c>
      <c r="CN636">
        <v>0</v>
      </c>
      <c r="CO636">
        <v>7</v>
      </c>
      <c r="CP636" t="s">
        <v>119</v>
      </c>
      <c r="CQ636">
        <v>197</v>
      </c>
      <c r="CR636">
        <v>0</v>
      </c>
      <c r="CW636">
        <v>16029934</v>
      </c>
      <c r="CY636">
        <v>1</v>
      </c>
      <c r="CZ636">
        <v>0</v>
      </c>
      <c r="DA636">
        <v>1</v>
      </c>
      <c r="DB636">
        <v>0</v>
      </c>
      <c r="DC636">
        <v>0</v>
      </c>
      <c r="DD636">
        <v>1</v>
      </c>
      <c r="DE636">
        <v>0</v>
      </c>
      <c r="DF636">
        <v>0</v>
      </c>
      <c r="DG636">
        <v>0</v>
      </c>
      <c r="DH636">
        <v>0</v>
      </c>
      <c r="DI636">
        <v>0</v>
      </c>
    </row>
    <row r="637" spans="1:113" x14ac:dyDescent="0.3">
      <c r="A637" t="str">
        <f>"09/28/2021 13:55:48.539"</f>
        <v>09/28/2021 13:55:48.539</v>
      </c>
      <c r="C637" t="str">
        <f t="shared" si="32"/>
        <v>FFDFD3C0</v>
      </c>
      <c r="D637" t="s">
        <v>120</v>
      </c>
      <c r="E637">
        <v>12</v>
      </c>
      <c r="F637">
        <v>1012</v>
      </c>
      <c r="G637" t="s">
        <v>114</v>
      </c>
      <c r="J637" t="s">
        <v>121</v>
      </c>
      <c r="K637">
        <v>0</v>
      </c>
      <c r="L637">
        <v>3</v>
      </c>
      <c r="M637">
        <v>0</v>
      </c>
      <c r="N637">
        <v>2</v>
      </c>
      <c r="O637">
        <v>1</v>
      </c>
      <c r="P637">
        <v>0</v>
      </c>
      <c r="Q637">
        <v>0</v>
      </c>
      <c r="S637" t="str">
        <f>"13:55:48.313"</f>
        <v>13:55:48.313</v>
      </c>
      <c r="T637" t="str">
        <f>"13:55:47.813"</f>
        <v>13:55:47.813</v>
      </c>
      <c r="U637" t="str">
        <f t="shared" si="31"/>
        <v>A92BC1</v>
      </c>
      <c r="V637">
        <v>0</v>
      </c>
      <c r="W637">
        <v>0</v>
      </c>
      <c r="X637">
        <v>2</v>
      </c>
      <c r="Z637">
        <v>0</v>
      </c>
      <c r="AA637">
        <v>9</v>
      </c>
      <c r="AB637">
        <v>3</v>
      </c>
      <c r="AC637">
        <v>0</v>
      </c>
      <c r="AD637">
        <v>10</v>
      </c>
      <c r="AE637">
        <v>0</v>
      </c>
      <c r="AF637">
        <v>3</v>
      </c>
      <c r="AG637">
        <v>2</v>
      </c>
      <c r="AH637">
        <v>0</v>
      </c>
      <c r="AI637" t="s">
        <v>738</v>
      </c>
      <c r="AJ637">
        <v>45.781573999999999</v>
      </c>
      <c r="AK637" t="s">
        <v>739</v>
      </c>
      <c r="AL637">
        <v>-89.295437000000007</v>
      </c>
      <c r="AM637">
        <v>100</v>
      </c>
      <c r="AN637">
        <v>11900</v>
      </c>
      <c r="AO637" t="s">
        <v>118</v>
      </c>
      <c r="AP637">
        <v>137</v>
      </c>
      <c r="AQ637">
        <v>105</v>
      </c>
      <c r="AR637">
        <v>1216</v>
      </c>
      <c r="AZ637">
        <v>1200</v>
      </c>
      <c r="BA637">
        <v>1</v>
      </c>
      <c r="BB637" t="str">
        <f t="shared" si="33"/>
        <v xml:space="preserve">N690LS  </v>
      </c>
      <c r="BC637">
        <v>1</v>
      </c>
      <c r="BE637">
        <v>0</v>
      </c>
      <c r="BF637">
        <v>0</v>
      </c>
      <c r="BG637">
        <v>0</v>
      </c>
      <c r="BH637">
        <v>12300</v>
      </c>
      <c r="BI637">
        <v>1</v>
      </c>
      <c r="BJ637">
        <v>1</v>
      </c>
      <c r="BK637">
        <v>1</v>
      </c>
      <c r="BL637">
        <v>0</v>
      </c>
      <c r="BO637">
        <v>0</v>
      </c>
      <c r="BP637">
        <v>0</v>
      </c>
      <c r="BW637" t="str">
        <f>"13:55:48.315"</f>
        <v>13:55:48.315</v>
      </c>
      <c r="CJ637">
        <v>0</v>
      </c>
      <c r="CK637">
        <v>2</v>
      </c>
      <c r="CL637">
        <v>0</v>
      </c>
      <c r="CM637">
        <v>2</v>
      </c>
      <c r="CN637">
        <v>0</v>
      </c>
      <c r="CO637">
        <v>7</v>
      </c>
      <c r="CP637" t="s">
        <v>119</v>
      </c>
      <c r="CQ637">
        <v>197</v>
      </c>
      <c r="CR637">
        <v>0</v>
      </c>
      <c r="CW637">
        <v>16030243</v>
      </c>
      <c r="CY637">
        <v>1</v>
      </c>
      <c r="CZ637">
        <v>0</v>
      </c>
      <c r="DA637">
        <v>0</v>
      </c>
      <c r="DB637">
        <v>0</v>
      </c>
      <c r="DC637">
        <v>0</v>
      </c>
      <c r="DD637">
        <v>1</v>
      </c>
      <c r="DE637">
        <v>0</v>
      </c>
      <c r="DF637">
        <v>0</v>
      </c>
      <c r="DG637">
        <v>0</v>
      </c>
      <c r="DH637">
        <v>0</v>
      </c>
      <c r="DI637">
        <v>0</v>
      </c>
    </row>
    <row r="638" spans="1:113" x14ac:dyDescent="0.3">
      <c r="A638" t="str">
        <f>"09/28/2021 13:55:48.539"</f>
        <v>09/28/2021 13:55:48.539</v>
      </c>
      <c r="C638" t="str">
        <f t="shared" si="32"/>
        <v>FFDFD3C0</v>
      </c>
      <c r="D638" t="s">
        <v>113</v>
      </c>
      <c r="E638">
        <v>7</v>
      </c>
      <c r="H638">
        <v>170</v>
      </c>
      <c r="I638" t="s">
        <v>114</v>
      </c>
      <c r="J638" t="s">
        <v>115</v>
      </c>
      <c r="K638">
        <v>0</v>
      </c>
      <c r="L638">
        <v>3</v>
      </c>
      <c r="M638">
        <v>0</v>
      </c>
      <c r="N638">
        <v>2</v>
      </c>
      <c r="O638">
        <v>1</v>
      </c>
      <c r="P638">
        <v>0</v>
      </c>
      <c r="Q638">
        <v>0</v>
      </c>
      <c r="S638" t="str">
        <f>"13:55:48.313"</f>
        <v>13:55:48.313</v>
      </c>
      <c r="T638" t="str">
        <f>"13:55:47.813"</f>
        <v>13:55:47.813</v>
      </c>
      <c r="U638" t="str">
        <f t="shared" si="31"/>
        <v>A92BC1</v>
      </c>
      <c r="V638">
        <v>0</v>
      </c>
      <c r="W638">
        <v>0</v>
      </c>
      <c r="X638">
        <v>2</v>
      </c>
      <c r="Z638">
        <v>0</v>
      </c>
      <c r="AA638">
        <v>9</v>
      </c>
      <c r="AB638">
        <v>3</v>
      </c>
      <c r="AC638">
        <v>0</v>
      </c>
      <c r="AD638">
        <v>10</v>
      </c>
      <c r="AE638">
        <v>0</v>
      </c>
      <c r="AF638">
        <v>3</v>
      </c>
      <c r="AG638">
        <v>2</v>
      </c>
      <c r="AH638">
        <v>0</v>
      </c>
      <c r="AI638" t="s">
        <v>738</v>
      </c>
      <c r="AJ638">
        <v>45.781573999999999</v>
      </c>
      <c r="AK638" t="s">
        <v>739</v>
      </c>
      <c r="AL638">
        <v>-89.295437000000007</v>
      </c>
      <c r="AM638">
        <v>100</v>
      </c>
      <c r="AN638">
        <v>11900</v>
      </c>
      <c r="AO638" t="s">
        <v>118</v>
      </c>
      <c r="AP638">
        <v>137</v>
      </c>
      <c r="AQ638">
        <v>105</v>
      </c>
      <c r="AR638">
        <v>1216</v>
      </c>
      <c r="AZ638">
        <v>1200</v>
      </c>
      <c r="BA638">
        <v>1</v>
      </c>
      <c r="BB638" t="str">
        <f t="shared" si="33"/>
        <v xml:space="preserve">N690LS  </v>
      </c>
      <c r="BC638">
        <v>1</v>
      </c>
      <c r="BE638">
        <v>0</v>
      </c>
      <c r="BF638">
        <v>0</v>
      </c>
      <c r="BG638">
        <v>0</v>
      </c>
      <c r="BH638">
        <v>12300</v>
      </c>
      <c r="BI638">
        <v>1</v>
      </c>
      <c r="BJ638">
        <v>1</v>
      </c>
      <c r="BK638">
        <v>1</v>
      </c>
      <c r="BL638">
        <v>0</v>
      </c>
      <c r="BO638">
        <v>0</v>
      </c>
      <c r="BP638">
        <v>0</v>
      </c>
      <c r="BW638" t="str">
        <f>"13:55:48.315"</f>
        <v>13:55:48.315</v>
      </c>
      <c r="CJ638">
        <v>0</v>
      </c>
      <c r="CK638">
        <v>2</v>
      </c>
      <c r="CL638">
        <v>0</v>
      </c>
      <c r="CM638">
        <v>2</v>
      </c>
      <c r="CN638">
        <v>0</v>
      </c>
      <c r="CO638">
        <v>7</v>
      </c>
      <c r="CP638" t="s">
        <v>119</v>
      </c>
      <c r="CQ638">
        <v>197</v>
      </c>
      <c r="CR638">
        <v>0</v>
      </c>
      <c r="CW638">
        <v>16030243</v>
      </c>
      <c r="CY638">
        <v>1</v>
      </c>
      <c r="CZ638">
        <v>0</v>
      </c>
      <c r="DA638">
        <v>1</v>
      </c>
      <c r="DB638">
        <v>0</v>
      </c>
      <c r="DC638">
        <v>0</v>
      </c>
      <c r="DD638">
        <v>1</v>
      </c>
      <c r="DE638">
        <v>0</v>
      </c>
      <c r="DF638">
        <v>0</v>
      </c>
      <c r="DG638">
        <v>0</v>
      </c>
      <c r="DH638">
        <v>0</v>
      </c>
      <c r="DI638">
        <v>0</v>
      </c>
    </row>
    <row r="639" spans="1:113" x14ac:dyDescent="0.3">
      <c r="A639" t="str">
        <f>"09/28/2021 13:55:49.540"</f>
        <v>09/28/2021 13:55:49.540</v>
      </c>
      <c r="C639" t="str">
        <f t="shared" si="32"/>
        <v>FFDFD3C0</v>
      </c>
      <c r="D639" t="s">
        <v>120</v>
      </c>
      <c r="E639">
        <v>12</v>
      </c>
      <c r="F639">
        <v>1012</v>
      </c>
      <c r="G639" t="s">
        <v>114</v>
      </c>
      <c r="J639" t="s">
        <v>121</v>
      </c>
      <c r="K639">
        <v>0</v>
      </c>
      <c r="L639">
        <v>3</v>
      </c>
      <c r="M639">
        <v>0</v>
      </c>
      <c r="N639">
        <v>2</v>
      </c>
      <c r="O639">
        <v>1</v>
      </c>
      <c r="P639">
        <v>0</v>
      </c>
      <c r="Q639">
        <v>0</v>
      </c>
      <c r="S639" t="str">
        <f>"13:55:49.313"</f>
        <v>13:55:49.313</v>
      </c>
      <c r="T639" t="str">
        <f>"13:55:48.913"</f>
        <v>13:55:48.913</v>
      </c>
      <c r="U639" t="str">
        <f t="shared" si="31"/>
        <v>A92BC1</v>
      </c>
      <c r="V639">
        <v>0</v>
      </c>
      <c r="W639">
        <v>0</v>
      </c>
      <c r="X639">
        <v>2</v>
      </c>
      <c r="Z639">
        <v>0</v>
      </c>
      <c r="AA639">
        <v>9</v>
      </c>
      <c r="AB639">
        <v>3</v>
      </c>
      <c r="AC639">
        <v>0</v>
      </c>
      <c r="AD639">
        <v>10</v>
      </c>
      <c r="AE639">
        <v>0</v>
      </c>
      <c r="AF639">
        <v>3</v>
      </c>
      <c r="AG639">
        <v>2</v>
      </c>
      <c r="AH639">
        <v>0</v>
      </c>
      <c r="AI639" t="s">
        <v>740</v>
      </c>
      <c r="AJ639">
        <v>45.782024999999997</v>
      </c>
      <c r="AK639" t="s">
        <v>741</v>
      </c>
      <c r="AL639">
        <v>-89.294535999999994</v>
      </c>
      <c r="AM639">
        <v>100</v>
      </c>
      <c r="AN639">
        <v>12000</v>
      </c>
      <c r="AO639" t="s">
        <v>118</v>
      </c>
      <c r="AP639">
        <v>138</v>
      </c>
      <c r="AQ639">
        <v>106</v>
      </c>
      <c r="AR639">
        <v>1216</v>
      </c>
      <c r="AZ639">
        <v>1200</v>
      </c>
      <c r="BA639">
        <v>1</v>
      </c>
      <c r="BB639" t="str">
        <f t="shared" si="33"/>
        <v xml:space="preserve">N690LS  </v>
      </c>
      <c r="BC639">
        <v>1</v>
      </c>
      <c r="BE639">
        <v>0</v>
      </c>
      <c r="BF639">
        <v>0</v>
      </c>
      <c r="BG639">
        <v>0</v>
      </c>
      <c r="BH639">
        <v>12325</v>
      </c>
      <c r="BI639">
        <v>1</v>
      </c>
      <c r="BJ639">
        <v>1</v>
      </c>
      <c r="BK639">
        <v>1</v>
      </c>
      <c r="BL639">
        <v>0</v>
      </c>
      <c r="BO639">
        <v>0</v>
      </c>
      <c r="BP639">
        <v>0</v>
      </c>
      <c r="BW639" t="str">
        <f>"13:55:49.316"</f>
        <v>13:55:49.316</v>
      </c>
      <c r="CJ639">
        <v>0</v>
      </c>
      <c r="CK639">
        <v>2</v>
      </c>
      <c r="CL639">
        <v>0</v>
      </c>
      <c r="CM639">
        <v>2</v>
      </c>
      <c r="CN639">
        <v>0</v>
      </c>
      <c r="CO639">
        <v>7</v>
      </c>
      <c r="CP639" t="s">
        <v>119</v>
      </c>
      <c r="CQ639">
        <v>197</v>
      </c>
      <c r="CR639">
        <v>1</v>
      </c>
      <c r="CW639">
        <v>7311898</v>
      </c>
      <c r="CY639">
        <v>1</v>
      </c>
      <c r="CZ639">
        <v>0</v>
      </c>
      <c r="DA639">
        <v>0</v>
      </c>
      <c r="DB639">
        <v>0</v>
      </c>
      <c r="DC639">
        <v>0</v>
      </c>
      <c r="DD639">
        <v>1</v>
      </c>
      <c r="DE639">
        <v>0</v>
      </c>
      <c r="DF639">
        <v>0</v>
      </c>
      <c r="DG639">
        <v>0</v>
      </c>
      <c r="DH639">
        <v>0</v>
      </c>
      <c r="DI639">
        <v>0</v>
      </c>
    </row>
    <row r="640" spans="1:113" x14ac:dyDescent="0.3">
      <c r="A640" t="str">
        <f>"09/28/2021 13:55:49.571"</f>
        <v>09/28/2021 13:55:49.571</v>
      </c>
      <c r="C640" t="str">
        <f t="shared" si="32"/>
        <v>FFDFD3C0</v>
      </c>
      <c r="D640" t="s">
        <v>113</v>
      </c>
      <c r="E640">
        <v>7</v>
      </c>
      <c r="H640">
        <v>170</v>
      </c>
      <c r="I640" t="s">
        <v>114</v>
      </c>
      <c r="J640" t="s">
        <v>115</v>
      </c>
      <c r="K640">
        <v>0</v>
      </c>
      <c r="L640">
        <v>3</v>
      </c>
      <c r="M640">
        <v>0</v>
      </c>
      <c r="N640">
        <v>2</v>
      </c>
      <c r="O640">
        <v>1</v>
      </c>
      <c r="P640">
        <v>0</v>
      </c>
      <c r="Q640">
        <v>0</v>
      </c>
      <c r="S640" t="str">
        <f>"13:55:49.313"</f>
        <v>13:55:49.313</v>
      </c>
      <c r="T640" t="str">
        <f>"13:55:48.913"</f>
        <v>13:55:48.913</v>
      </c>
      <c r="U640" t="str">
        <f t="shared" si="31"/>
        <v>A92BC1</v>
      </c>
      <c r="V640">
        <v>0</v>
      </c>
      <c r="W640">
        <v>0</v>
      </c>
      <c r="X640">
        <v>2</v>
      </c>
      <c r="Z640">
        <v>0</v>
      </c>
      <c r="AA640">
        <v>9</v>
      </c>
      <c r="AB640">
        <v>3</v>
      </c>
      <c r="AC640">
        <v>0</v>
      </c>
      <c r="AD640">
        <v>10</v>
      </c>
      <c r="AE640">
        <v>0</v>
      </c>
      <c r="AF640">
        <v>3</v>
      </c>
      <c r="AG640">
        <v>2</v>
      </c>
      <c r="AH640">
        <v>0</v>
      </c>
      <c r="AI640" t="s">
        <v>740</v>
      </c>
      <c r="AJ640">
        <v>45.782024999999997</v>
      </c>
      <c r="AK640" t="s">
        <v>741</v>
      </c>
      <c r="AL640">
        <v>-89.294535999999994</v>
      </c>
      <c r="AM640">
        <v>100</v>
      </c>
      <c r="AN640">
        <v>12000</v>
      </c>
      <c r="AO640" t="s">
        <v>118</v>
      </c>
      <c r="AP640">
        <v>138</v>
      </c>
      <c r="AQ640">
        <v>106</v>
      </c>
      <c r="AR640">
        <v>1216</v>
      </c>
      <c r="AZ640">
        <v>1200</v>
      </c>
      <c r="BA640">
        <v>1</v>
      </c>
      <c r="BB640" t="str">
        <f t="shared" si="33"/>
        <v xml:space="preserve">N690LS  </v>
      </c>
      <c r="BC640">
        <v>1</v>
      </c>
      <c r="BE640">
        <v>0</v>
      </c>
      <c r="BF640">
        <v>0</v>
      </c>
      <c r="BG640">
        <v>0</v>
      </c>
      <c r="BH640">
        <v>12325</v>
      </c>
      <c r="BI640">
        <v>1</v>
      </c>
      <c r="BJ640">
        <v>1</v>
      </c>
      <c r="BK640">
        <v>1</v>
      </c>
      <c r="BL640">
        <v>0</v>
      </c>
      <c r="BO640">
        <v>0</v>
      </c>
      <c r="BP640">
        <v>0</v>
      </c>
      <c r="BW640" t="str">
        <f>"13:55:49.316"</f>
        <v>13:55:49.316</v>
      </c>
      <c r="CJ640">
        <v>0</v>
      </c>
      <c r="CK640">
        <v>2</v>
      </c>
      <c r="CL640">
        <v>0</v>
      </c>
      <c r="CM640">
        <v>2</v>
      </c>
      <c r="CN640">
        <v>0</v>
      </c>
      <c r="CO640">
        <v>7</v>
      </c>
      <c r="CP640" t="s">
        <v>119</v>
      </c>
      <c r="CQ640">
        <v>197</v>
      </c>
      <c r="CR640">
        <v>1</v>
      </c>
      <c r="CW640">
        <v>7311898</v>
      </c>
      <c r="CY640">
        <v>1</v>
      </c>
      <c r="CZ640">
        <v>0</v>
      </c>
      <c r="DA640">
        <v>1</v>
      </c>
      <c r="DB640">
        <v>0</v>
      </c>
      <c r="DC640">
        <v>0</v>
      </c>
      <c r="DD640">
        <v>1</v>
      </c>
      <c r="DE640">
        <v>0</v>
      </c>
      <c r="DF640">
        <v>0</v>
      </c>
      <c r="DG640">
        <v>0</v>
      </c>
      <c r="DH640">
        <v>0</v>
      </c>
      <c r="DI640">
        <v>0</v>
      </c>
    </row>
    <row r="641" spans="1:113" x14ac:dyDescent="0.3">
      <c r="A641" t="str">
        <f>"09/28/2021 13:55:50.493"</f>
        <v>09/28/2021 13:55:50.493</v>
      </c>
      <c r="C641" t="str">
        <f t="shared" si="32"/>
        <v>FFDFD3C0</v>
      </c>
      <c r="D641" t="s">
        <v>120</v>
      </c>
      <c r="E641">
        <v>12</v>
      </c>
      <c r="F641">
        <v>1012</v>
      </c>
      <c r="G641" t="s">
        <v>114</v>
      </c>
      <c r="J641" t="s">
        <v>121</v>
      </c>
      <c r="K641">
        <v>0</v>
      </c>
      <c r="L641">
        <v>3</v>
      </c>
      <c r="M641">
        <v>0</v>
      </c>
      <c r="N641">
        <v>2</v>
      </c>
      <c r="O641">
        <v>1</v>
      </c>
      <c r="P641">
        <v>0</v>
      </c>
      <c r="Q641">
        <v>0</v>
      </c>
      <c r="S641" t="str">
        <f>"13:55:50.313"</f>
        <v>13:55:50.313</v>
      </c>
      <c r="T641" t="str">
        <f>"13:55:49.913"</f>
        <v>13:55:49.913</v>
      </c>
      <c r="U641" t="str">
        <f t="shared" si="31"/>
        <v>A92BC1</v>
      </c>
      <c r="V641">
        <v>0</v>
      </c>
      <c r="W641">
        <v>0</v>
      </c>
      <c r="X641">
        <v>2</v>
      </c>
      <c r="Z641">
        <v>0</v>
      </c>
      <c r="AA641">
        <v>9</v>
      </c>
      <c r="AB641">
        <v>3</v>
      </c>
      <c r="AC641">
        <v>0</v>
      </c>
      <c r="AD641">
        <v>10</v>
      </c>
      <c r="AE641">
        <v>0</v>
      </c>
      <c r="AF641">
        <v>3</v>
      </c>
      <c r="AG641">
        <v>2</v>
      </c>
      <c r="AH641">
        <v>0</v>
      </c>
      <c r="AI641" t="s">
        <v>742</v>
      </c>
      <c r="AJ641">
        <v>45.782539999999997</v>
      </c>
      <c r="AK641" t="s">
        <v>743</v>
      </c>
      <c r="AL641">
        <v>-89.293571</v>
      </c>
      <c r="AM641">
        <v>100</v>
      </c>
      <c r="AN641">
        <v>12000</v>
      </c>
      <c r="AO641" t="s">
        <v>118</v>
      </c>
      <c r="AP641">
        <v>139</v>
      </c>
      <c r="AQ641">
        <v>106</v>
      </c>
      <c r="AR641">
        <v>1216</v>
      </c>
      <c r="AZ641">
        <v>1200</v>
      </c>
      <c r="BA641">
        <v>1</v>
      </c>
      <c r="BB641" t="str">
        <f t="shared" si="33"/>
        <v xml:space="preserve">N690LS  </v>
      </c>
      <c r="BC641">
        <v>1</v>
      </c>
      <c r="BE641">
        <v>0</v>
      </c>
      <c r="BF641">
        <v>0</v>
      </c>
      <c r="BG641">
        <v>0</v>
      </c>
      <c r="BH641">
        <v>12350</v>
      </c>
      <c r="BI641">
        <v>1</v>
      </c>
      <c r="BJ641">
        <v>1</v>
      </c>
      <c r="BK641">
        <v>1</v>
      </c>
      <c r="BL641">
        <v>0</v>
      </c>
      <c r="BO641">
        <v>0</v>
      </c>
      <c r="BP641">
        <v>0</v>
      </c>
      <c r="BW641" t="str">
        <f>"13:55:50.319"</f>
        <v>13:55:50.319</v>
      </c>
      <c r="CJ641">
        <v>0</v>
      </c>
      <c r="CK641">
        <v>2</v>
      </c>
      <c r="CL641">
        <v>0</v>
      </c>
      <c r="CM641">
        <v>2</v>
      </c>
      <c r="CN641">
        <v>0</v>
      </c>
      <c r="CO641">
        <v>7</v>
      </c>
      <c r="CP641" t="s">
        <v>119</v>
      </c>
      <c r="CQ641">
        <v>197</v>
      </c>
      <c r="CR641">
        <v>1</v>
      </c>
      <c r="CW641">
        <v>7312969</v>
      </c>
      <c r="CY641">
        <v>1</v>
      </c>
      <c r="CZ641">
        <v>0</v>
      </c>
      <c r="DA641">
        <v>0</v>
      </c>
      <c r="DB641">
        <v>0</v>
      </c>
      <c r="DC641">
        <v>0</v>
      </c>
      <c r="DD641">
        <v>1</v>
      </c>
      <c r="DE641">
        <v>0</v>
      </c>
      <c r="DF641">
        <v>0</v>
      </c>
      <c r="DG641">
        <v>0</v>
      </c>
      <c r="DH641">
        <v>0</v>
      </c>
      <c r="DI641">
        <v>0</v>
      </c>
    </row>
    <row r="642" spans="1:113" x14ac:dyDescent="0.3">
      <c r="A642" t="str">
        <f>"09/28/2021 13:55:50.509"</f>
        <v>09/28/2021 13:55:50.509</v>
      </c>
      <c r="C642" t="str">
        <f t="shared" si="32"/>
        <v>FFDFD3C0</v>
      </c>
      <c r="D642" t="s">
        <v>113</v>
      </c>
      <c r="E642">
        <v>7</v>
      </c>
      <c r="H642">
        <v>170</v>
      </c>
      <c r="I642" t="s">
        <v>114</v>
      </c>
      <c r="J642" t="s">
        <v>115</v>
      </c>
      <c r="K642">
        <v>0</v>
      </c>
      <c r="L642">
        <v>3</v>
      </c>
      <c r="M642">
        <v>0</v>
      </c>
      <c r="N642">
        <v>2</v>
      </c>
      <c r="O642">
        <v>1</v>
      </c>
      <c r="P642">
        <v>0</v>
      </c>
      <c r="Q642">
        <v>0</v>
      </c>
      <c r="S642" t="str">
        <f>"13:55:50.313"</f>
        <v>13:55:50.313</v>
      </c>
      <c r="T642" t="str">
        <f>"13:55:49.913"</f>
        <v>13:55:49.913</v>
      </c>
      <c r="U642" t="str">
        <f t="shared" ref="U642:U705" si="34">"A92BC1"</f>
        <v>A92BC1</v>
      </c>
      <c r="V642">
        <v>0</v>
      </c>
      <c r="W642">
        <v>0</v>
      </c>
      <c r="X642">
        <v>2</v>
      </c>
      <c r="Z642">
        <v>0</v>
      </c>
      <c r="AA642">
        <v>9</v>
      </c>
      <c r="AB642">
        <v>3</v>
      </c>
      <c r="AC642">
        <v>0</v>
      </c>
      <c r="AD642">
        <v>10</v>
      </c>
      <c r="AE642">
        <v>0</v>
      </c>
      <c r="AF642">
        <v>3</v>
      </c>
      <c r="AG642">
        <v>2</v>
      </c>
      <c r="AH642">
        <v>0</v>
      </c>
      <c r="AI642" t="s">
        <v>742</v>
      </c>
      <c r="AJ642">
        <v>45.782539999999997</v>
      </c>
      <c r="AK642" t="s">
        <v>743</v>
      </c>
      <c r="AL642">
        <v>-89.293571</v>
      </c>
      <c r="AM642">
        <v>100</v>
      </c>
      <c r="AN642">
        <v>12000</v>
      </c>
      <c r="AO642" t="s">
        <v>118</v>
      </c>
      <c r="AP642">
        <v>139</v>
      </c>
      <c r="AQ642">
        <v>106</v>
      </c>
      <c r="AR642">
        <v>1216</v>
      </c>
      <c r="AZ642">
        <v>1200</v>
      </c>
      <c r="BA642">
        <v>1</v>
      </c>
      <c r="BB642" t="str">
        <f t="shared" si="33"/>
        <v xml:space="preserve">N690LS  </v>
      </c>
      <c r="BC642">
        <v>1</v>
      </c>
      <c r="BE642">
        <v>0</v>
      </c>
      <c r="BF642">
        <v>0</v>
      </c>
      <c r="BG642">
        <v>0</v>
      </c>
      <c r="BH642">
        <v>12350</v>
      </c>
      <c r="BI642">
        <v>1</v>
      </c>
      <c r="BJ642">
        <v>1</v>
      </c>
      <c r="BK642">
        <v>1</v>
      </c>
      <c r="BL642">
        <v>0</v>
      </c>
      <c r="BO642">
        <v>0</v>
      </c>
      <c r="BP642">
        <v>0</v>
      </c>
      <c r="BW642" t="str">
        <f>"13:55:50.319"</f>
        <v>13:55:50.319</v>
      </c>
      <c r="CJ642">
        <v>0</v>
      </c>
      <c r="CK642">
        <v>2</v>
      </c>
      <c r="CL642">
        <v>0</v>
      </c>
      <c r="CM642">
        <v>2</v>
      </c>
      <c r="CN642">
        <v>0</v>
      </c>
      <c r="CO642">
        <v>7</v>
      </c>
      <c r="CP642" t="s">
        <v>119</v>
      </c>
      <c r="CQ642">
        <v>197</v>
      </c>
      <c r="CR642">
        <v>1</v>
      </c>
      <c r="CW642">
        <v>7312969</v>
      </c>
      <c r="CY642">
        <v>1</v>
      </c>
      <c r="CZ642">
        <v>0</v>
      </c>
      <c r="DA642">
        <v>1</v>
      </c>
      <c r="DB642">
        <v>0</v>
      </c>
      <c r="DC642">
        <v>0</v>
      </c>
      <c r="DD642">
        <v>1</v>
      </c>
      <c r="DE642">
        <v>0</v>
      </c>
      <c r="DF642">
        <v>0</v>
      </c>
      <c r="DG642">
        <v>0</v>
      </c>
      <c r="DH642">
        <v>0</v>
      </c>
      <c r="DI642">
        <v>0</v>
      </c>
    </row>
    <row r="643" spans="1:113" x14ac:dyDescent="0.3">
      <c r="A643" t="str">
        <f>"09/28/2021 13:55:51.620"</f>
        <v>09/28/2021 13:55:51.620</v>
      </c>
      <c r="C643" t="str">
        <f t="shared" si="32"/>
        <v>FFDFD3C0</v>
      </c>
      <c r="D643" t="s">
        <v>113</v>
      </c>
      <c r="E643">
        <v>7</v>
      </c>
      <c r="H643">
        <v>170</v>
      </c>
      <c r="I643" t="s">
        <v>114</v>
      </c>
      <c r="J643" t="s">
        <v>115</v>
      </c>
      <c r="K643">
        <v>0</v>
      </c>
      <c r="L643">
        <v>3</v>
      </c>
      <c r="M643">
        <v>0</v>
      </c>
      <c r="N643">
        <v>2</v>
      </c>
      <c r="O643">
        <v>1</v>
      </c>
      <c r="P643">
        <v>0</v>
      </c>
      <c r="Q643">
        <v>0</v>
      </c>
      <c r="S643" t="str">
        <f>"13:55:51.430"</f>
        <v>13:55:51.430</v>
      </c>
      <c r="T643" t="str">
        <f>"13:55:50.930"</f>
        <v>13:55:50.930</v>
      </c>
      <c r="U643" t="str">
        <f t="shared" si="34"/>
        <v>A92BC1</v>
      </c>
      <c r="V643">
        <v>0</v>
      </c>
      <c r="W643">
        <v>0</v>
      </c>
      <c r="X643">
        <v>2</v>
      </c>
      <c r="Z643">
        <v>0</v>
      </c>
      <c r="AA643">
        <v>9</v>
      </c>
      <c r="AB643">
        <v>3</v>
      </c>
      <c r="AC643">
        <v>0</v>
      </c>
      <c r="AD643">
        <v>10</v>
      </c>
      <c r="AE643">
        <v>0</v>
      </c>
      <c r="AF643">
        <v>3</v>
      </c>
      <c r="AG643">
        <v>2</v>
      </c>
      <c r="AH643">
        <v>0</v>
      </c>
      <c r="AI643" t="s">
        <v>744</v>
      </c>
      <c r="AJ643">
        <v>45.783098000000003</v>
      </c>
      <c r="AK643" t="s">
        <v>745</v>
      </c>
      <c r="AL643">
        <v>-89.292475999999994</v>
      </c>
      <c r="AM643">
        <v>100</v>
      </c>
      <c r="AN643">
        <v>12000</v>
      </c>
      <c r="AO643" t="s">
        <v>118</v>
      </c>
      <c r="AP643">
        <v>139</v>
      </c>
      <c r="AQ643">
        <v>106</v>
      </c>
      <c r="AR643">
        <v>1216</v>
      </c>
      <c r="AZ643">
        <v>1200</v>
      </c>
      <c r="BA643">
        <v>1</v>
      </c>
      <c r="BB643" t="str">
        <f t="shared" si="33"/>
        <v xml:space="preserve">N690LS  </v>
      </c>
      <c r="BC643">
        <v>1</v>
      </c>
      <c r="BE643">
        <v>0</v>
      </c>
      <c r="BF643">
        <v>0</v>
      </c>
      <c r="BG643">
        <v>0</v>
      </c>
      <c r="BH643">
        <v>12375</v>
      </c>
      <c r="BI643">
        <v>1</v>
      </c>
      <c r="BJ643">
        <v>1</v>
      </c>
      <c r="BK643">
        <v>1</v>
      </c>
      <c r="BL643">
        <v>0</v>
      </c>
      <c r="BO643">
        <v>0</v>
      </c>
      <c r="BP643">
        <v>0</v>
      </c>
      <c r="BW643" t="str">
        <f>"13:55:51.436"</f>
        <v>13:55:51.436</v>
      </c>
      <c r="CJ643">
        <v>0</v>
      </c>
      <c r="CK643">
        <v>2</v>
      </c>
      <c r="CL643">
        <v>0</v>
      </c>
      <c r="CM643">
        <v>2</v>
      </c>
      <c r="CN643">
        <v>0</v>
      </c>
      <c r="CO643">
        <v>7</v>
      </c>
      <c r="CP643" t="s">
        <v>119</v>
      </c>
      <c r="CQ643">
        <v>197</v>
      </c>
      <c r="CR643">
        <v>1</v>
      </c>
      <c r="CW643">
        <v>7314164</v>
      </c>
      <c r="CY643">
        <v>1</v>
      </c>
      <c r="CZ643">
        <v>0</v>
      </c>
      <c r="DA643">
        <v>0</v>
      </c>
      <c r="DB643">
        <v>0</v>
      </c>
      <c r="DC643">
        <v>0</v>
      </c>
      <c r="DD643">
        <v>1</v>
      </c>
      <c r="DE643">
        <v>0</v>
      </c>
      <c r="DF643">
        <v>0</v>
      </c>
      <c r="DG643">
        <v>0</v>
      </c>
      <c r="DH643">
        <v>0</v>
      </c>
      <c r="DI643">
        <v>0</v>
      </c>
    </row>
    <row r="644" spans="1:113" x14ac:dyDescent="0.3">
      <c r="A644" t="str">
        <f>"09/28/2021 13:55:51.713"</f>
        <v>09/28/2021 13:55:51.713</v>
      </c>
      <c r="C644" t="str">
        <f t="shared" si="32"/>
        <v>FFDFD3C0</v>
      </c>
      <c r="D644" t="s">
        <v>120</v>
      </c>
      <c r="E644">
        <v>12</v>
      </c>
      <c r="F644">
        <v>1012</v>
      </c>
      <c r="G644" t="s">
        <v>114</v>
      </c>
      <c r="J644" t="s">
        <v>121</v>
      </c>
      <c r="K644">
        <v>0</v>
      </c>
      <c r="L644">
        <v>3</v>
      </c>
      <c r="M644">
        <v>0</v>
      </c>
      <c r="N644">
        <v>2</v>
      </c>
      <c r="O644">
        <v>1</v>
      </c>
      <c r="P644">
        <v>0</v>
      </c>
      <c r="Q644">
        <v>0</v>
      </c>
      <c r="S644" t="str">
        <f>"13:55:51.430"</f>
        <v>13:55:51.430</v>
      </c>
      <c r="T644" t="str">
        <f>"13:55:50.930"</f>
        <v>13:55:50.930</v>
      </c>
      <c r="U644" t="str">
        <f t="shared" si="34"/>
        <v>A92BC1</v>
      </c>
      <c r="V644">
        <v>0</v>
      </c>
      <c r="W644">
        <v>0</v>
      </c>
      <c r="X644">
        <v>2</v>
      </c>
      <c r="Z644">
        <v>0</v>
      </c>
      <c r="AA644">
        <v>9</v>
      </c>
      <c r="AB644">
        <v>3</v>
      </c>
      <c r="AC644">
        <v>0</v>
      </c>
      <c r="AD644">
        <v>10</v>
      </c>
      <c r="AE644">
        <v>0</v>
      </c>
      <c r="AF644">
        <v>3</v>
      </c>
      <c r="AG644">
        <v>2</v>
      </c>
      <c r="AH644">
        <v>0</v>
      </c>
      <c r="AI644" t="s">
        <v>744</v>
      </c>
      <c r="AJ644">
        <v>45.783098000000003</v>
      </c>
      <c r="AK644" t="s">
        <v>745</v>
      </c>
      <c r="AL644">
        <v>-89.292475999999994</v>
      </c>
      <c r="AM644">
        <v>100</v>
      </c>
      <c r="AN644">
        <v>12000</v>
      </c>
      <c r="AO644" t="s">
        <v>118</v>
      </c>
      <c r="AP644">
        <v>139</v>
      </c>
      <c r="AQ644">
        <v>106</v>
      </c>
      <c r="AR644">
        <v>1216</v>
      </c>
      <c r="AZ644">
        <v>1200</v>
      </c>
      <c r="BA644">
        <v>1</v>
      </c>
      <c r="BB644" t="str">
        <f t="shared" si="33"/>
        <v xml:space="preserve">N690LS  </v>
      </c>
      <c r="BC644">
        <v>1</v>
      </c>
      <c r="BE644">
        <v>0</v>
      </c>
      <c r="BF644">
        <v>0</v>
      </c>
      <c r="BG644">
        <v>0</v>
      </c>
      <c r="BH644">
        <v>12375</v>
      </c>
      <c r="BI644">
        <v>1</v>
      </c>
      <c r="BJ644">
        <v>1</v>
      </c>
      <c r="BK644">
        <v>1</v>
      </c>
      <c r="BL644">
        <v>0</v>
      </c>
      <c r="BO644">
        <v>0</v>
      </c>
      <c r="BP644">
        <v>0</v>
      </c>
      <c r="BW644" t="str">
        <f>"13:55:51.436"</f>
        <v>13:55:51.436</v>
      </c>
      <c r="CJ644">
        <v>0</v>
      </c>
      <c r="CK644">
        <v>2</v>
      </c>
      <c r="CL644">
        <v>0</v>
      </c>
      <c r="CM644">
        <v>2</v>
      </c>
      <c r="CN644">
        <v>0</v>
      </c>
      <c r="CO644">
        <v>7</v>
      </c>
      <c r="CP644" t="s">
        <v>119</v>
      </c>
      <c r="CQ644">
        <v>197</v>
      </c>
      <c r="CR644">
        <v>1</v>
      </c>
      <c r="CW644">
        <v>7314164</v>
      </c>
      <c r="CY644">
        <v>1</v>
      </c>
      <c r="CZ644">
        <v>0</v>
      </c>
      <c r="DA644">
        <v>1</v>
      </c>
      <c r="DB644">
        <v>0</v>
      </c>
      <c r="DC644">
        <v>0</v>
      </c>
      <c r="DD644">
        <v>1</v>
      </c>
      <c r="DE644">
        <v>0</v>
      </c>
      <c r="DF644">
        <v>0</v>
      </c>
      <c r="DG644">
        <v>0</v>
      </c>
      <c r="DH644">
        <v>0</v>
      </c>
      <c r="DI644">
        <v>0</v>
      </c>
    </row>
    <row r="645" spans="1:113" x14ac:dyDescent="0.3">
      <c r="A645" t="str">
        <f>"09/28/2021 13:55:52.667"</f>
        <v>09/28/2021 13:55:52.667</v>
      </c>
      <c r="C645" t="str">
        <f t="shared" si="32"/>
        <v>FFDFD3C0</v>
      </c>
      <c r="D645" t="s">
        <v>120</v>
      </c>
      <c r="E645">
        <v>12</v>
      </c>
      <c r="F645">
        <v>1012</v>
      </c>
      <c r="G645" t="s">
        <v>114</v>
      </c>
      <c r="J645" t="s">
        <v>121</v>
      </c>
      <c r="K645">
        <v>0</v>
      </c>
      <c r="L645">
        <v>3</v>
      </c>
      <c r="M645">
        <v>0</v>
      </c>
      <c r="N645">
        <v>2</v>
      </c>
      <c r="O645">
        <v>1</v>
      </c>
      <c r="P645">
        <v>0</v>
      </c>
      <c r="Q645">
        <v>0</v>
      </c>
      <c r="S645" t="str">
        <f>"13:55:52.453"</f>
        <v>13:55:52.453</v>
      </c>
      <c r="T645" t="str">
        <f>"13:55:51.953"</f>
        <v>13:55:51.953</v>
      </c>
      <c r="U645" t="str">
        <f t="shared" si="34"/>
        <v>A92BC1</v>
      </c>
      <c r="V645">
        <v>0</v>
      </c>
      <c r="W645">
        <v>0</v>
      </c>
      <c r="X645">
        <v>2</v>
      </c>
      <c r="Z645">
        <v>0</v>
      </c>
      <c r="AA645">
        <v>9</v>
      </c>
      <c r="AB645">
        <v>3</v>
      </c>
      <c r="AC645">
        <v>0</v>
      </c>
      <c r="AD645">
        <v>10</v>
      </c>
      <c r="AE645">
        <v>0</v>
      </c>
      <c r="AF645">
        <v>3</v>
      </c>
      <c r="AG645">
        <v>2</v>
      </c>
      <c r="AH645">
        <v>0</v>
      </c>
      <c r="AI645" t="s">
        <v>746</v>
      </c>
      <c r="AJ645">
        <v>45.783613000000003</v>
      </c>
      <c r="AK645" t="s">
        <v>747</v>
      </c>
      <c r="AL645">
        <v>-89.291595999999998</v>
      </c>
      <c r="AM645">
        <v>100</v>
      </c>
      <c r="AN645">
        <v>12000</v>
      </c>
      <c r="AO645" t="s">
        <v>118</v>
      </c>
      <c r="AP645">
        <v>140</v>
      </c>
      <c r="AQ645">
        <v>106</v>
      </c>
      <c r="AR645">
        <v>1216</v>
      </c>
      <c r="AZ645">
        <v>1200</v>
      </c>
      <c r="BA645">
        <v>1</v>
      </c>
      <c r="BB645" t="str">
        <f t="shared" si="33"/>
        <v xml:space="preserve">N690LS  </v>
      </c>
      <c r="BC645">
        <v>1</v>
      </c>
      <c r="BE645">
        <v>0</v>
      </c>
      <c r="BF645">
        <v>0</v>
      </c>
      <c r="BG645">
        <v>0</v>
      </c>
      <c r="BH645">
        <v>12400</v>
      </c>
      <c r="BI645">
        <v>1</v>
      </c>
      <c r="BJ645">
        <v>1</v>
      </c>
      <c r="BK645">
        <v>1</v>
      </c>
      <c r="BL645">
        <v>0</v>
      </c>
      <c r="BO645">
        <v>0</v>
      </c>
      <c r="BP645">
        <v>0</v>
      </c>
      <c r="BW645" t="str">
        <f>"13:55:52.458"</f>
        <v>13:55:52.458</v>
      </c>
      <c r="CJ645">
        <v>0</v>
      </c>
      <c r="CK645">
        <v>2</v>
      </c>
      <c r="CL645">
        <v>0</v>
      </c>
      <c r="CM645">
        <v>2</v>
      </c>
      <c r="CN645">
        <v>0</v>
      </c>
      <c r="CO645">
        <v>7</v>
      </c>
      <c r="CP645" t="s">
        <v>119</v>
      </c>
      <c r="CQ645">
        <v>197</v>
      </c>
      <c r="CR645">
        <v>1</v>
      </c>
      <c r="CW645">
        <v>7315327</v>
      </c>
      <c r="CY645">
        <v>1</v>
      </c>
      <c r="CZ645">
        <v>0</v>
      </c>
      <c r="DA645">
        <v>0</v>
      </c>
      <c r="DB645">
        <v>0</v>
      </c>
      <c r="DC645">
        <v>0</v>
      </c>
      <c r="DD645">
        <v>1</v>
      </c>
      <c r="DE645">
        <v>0</v>
      </c>
      <c r="DF645">
        <v>0</v>
      </c>
      <c r="DG645">
        <v>0</v>
      </c>
      <c r="DH645">
        <v>0</v>
      </c>
      <c r="DI645">
        <v>0</v>
      </c>
    </row>
    <row r="646" spans="1:113" x14ac:dyDescent="0.3">
      <c r="A646" t="str">
        <f>"09/28/2021 13:55:52.682"</f>
        <v>09/28/2021 13:55:52.682</v>
      </c>
      <c r="C646" t="str">
        <f t="shared" si="32"/>
        <v>FFDFD3C0</v>
      </c>
      <c r="D646" t="s">
        <v>113</v>
      </c>
      <c r="E646">
        <v>7</v>
      </c>
      <c r="H646">
        <v>170</v>
      </c>
      <c r="I646" t="s">
        <v>114</v>
      </c>
      <c r="J646" t="s">
        <v>115</v>
      </c>
      <c r="K646">
        <v>0</v>
      </c>
      <c r="L646">
        <v>3</v>
      </c>
      <c r="M646">
        <v>0</v>
      </c>
      <c r="N646">
        <v>2</v>
      </c>
      <c r="O646">
        <v>1</v>
      </c>
      <c r="P646">
        <v>0</v>
      </c>
      <c r="Q646">
        <v>0</v>
      </c>
      <c r="S646" t="str">
        <f>"13:55:52.453"</f>
        <v>13:55:52.453</v>
      </c>
      <c r="T646" t="str">
        <f>"13:55:51.953"</f>
        <v>13:55:51.953</v>
      </c>
      <c r="U646" t="str">
        <f t="shared" si="34"/>
        <v>A92BC1</v>
      </c>
      <c r="V646">
        <v>0</v>
      </c>
      <c r="W646">
        <v>0</v>
      </c>
      <c r="X646">
        <v>2</v>
      </c>
      <c r="Z646">
        <v>0</v>
      </c>
      <c r="AA646">
        <v>9</v>
      </c>
      <c r="AB646">
        <v>3</v>
      </c>
      <c r="AC646">
        <v>0</v>
      </c>
      <c r="AD646">
        <v>10</v>
      </c>
      <c r="AE646">
        <v>0</v>
      </c>
      <c r="AF646">
        <v>3</v>
      </c>
      <c r="AG646">
        <v>2</v>
      </c>
      <c r="AH646">
        <v>0</v>
      </c>
      <c r="AI646" t="s">
        <v>746</v>
      </c>
      <c r="AJ646">
        <v>45.783613000000003</v>
      </c>
      <c r="AK646" t="s">
        <v>747</v>
      </c>
      <c r="AL646">
        <v>-89.291595999999998</v>
      </c>
      <c r="AM646">
        <v>100</v>
      </c>
      <c r="AN646">
        <v>12000</v>
      </c>
      <c r="AO646" t="s">
        <v>118</v>
      </c>
      <c r="AP646">
        <v>140</v>
      </c>
      <c r="AQ646">
        <v>106</v>
      </c>
      <c r="AR646">
        <v>1216</v>
      </c>
      <c r="AZ646">
        <v>1200</v>
      </c>
      <c r="BA646">
        <v>1</v>
      </c>
      <c r="BB646" t="str">
        <f t="shared" si="33"/>
        <v xml:space="preserve">N690LS  </v>
      </c>
      <c r="BC646">
        <v>1</v>
      </c>
      <c r="BE646">
        <v>0</v>
      </c>
      <c r="BF646">
        <v>0</v>
      </c>
      <c r="BG646">
        <v>0</v>
      </c>
      <c r="BH646">
        <v>12400</v>
      </c>
      <c r="BI646">
        <v>1</v>
      </c>
      <c r="BJ646">
        <v>1</v>
      </c>
      <c r="BK646">
        <v>1</v>
      </c>
      <c r="BL646">
        <v>0</v>
      </c>
      <c r="BO646">
        <v>0</v>
      </c>
      <c r="BP646">
        <v>0</v>
      </c>
      <c r="BW646" t="str">
        <f>"13:55:52.458"</f>
        <v>13:55:52.458</v>
      </c>
      <c r="CJ646">
        <v>0</v>
      </c>
      <c r="CK646">
        <v>2</v>
      </c>
      <c r="CL646">
        <v>0</v>
      </c>
      <c r="CM646">
        <v>2</v>
      </c>
      <c r="CN646">
        <v>0</v>
      </c>
      <c r="CO646">
        <v>7</v>
      </c>
      <c r="CP646" t="s">
        <v>119</v>
      </c>
      <c r="CQ646">
        <v>197</v>
      </c>
      <c r="CR646">
        <v>1</v>
      </c>
      <c r="CW646">
        <v>7315327</v>
      </c>
      <c r="CY646">
        <v>1</v>
      </c>
      <c r="CZ646">
        <v>0</v>
      </c>
      <c r="DA646">
        <v>1</v>
      </c>
      <c r="DB646">
        <v>0</v>
      </c>
      <c r="DC646">
        <v>0</v>
      </c>
      <c r="DD646">
        <v>1</v>
      </c>
      <c r="DE646">
        <v>0</v>
      </c>
      <c r="DF646">
        <v>0</v>
      </c>
      <c r="DG646">
        <v>0</v>
      </c>
      <c r="DH646">
        <v>0</v>
      </c>
      <c r="DI646">
        <v>0</v>
      </c>
    </row>
    <row r="647" spans="1:113" x14ac:dyDescent="0.3">
      <c r="A647" t="str">
        <f>"09/28/2021 13:55:53.604"</f>
        <v>09/28/2021 13:55:53.604</v>
      </c>
      <c r="C647" t="str">
        <f t="shared" si="32"/>
        <v>FFDFD3C0</v>
      </c>
      <c r="D647" t="s">
        <v>120</v>
      </c>
      <c r="E647">
        <v>12</v>
      </c>
      <c r="F647">
        <v>1012</v>
      </c>
      <c r="G647" t="s">
        <v>114</v>
      </c>
      <c r="J647" t="s">
        <v>121</v>
      </c>
      <c r="K647">
        <v>0</v>
      </c>
      <c r="L647">
        <v>3</v>
      </c>
      <c r="M647">
        <v>0</v>
      </c>
      <c r="N647">
        <v>2</v>
      </c>
      <c r="O647">
        <v>1</v>
      </c>
      <c r="P647">
        <v>0</v>
      </c>
      <c r="Q647">
        <v>0</v>
      </c>
      <c r="S647" t="str">
        <f>"13:55:53.383"</f>
        <v>13:55:53.383</v>
      </c>
      <c r="T647" t="str">
        <f>"13:55:52.983"</f>
        <v>13:55:52.983</v>
      </c>
      <c r="U647" t="str">
        <f t="shared" si="34"/>
        <v>A92BC1</v>
      </c>
      <c r="V647">
        <v>0</v>
      </c>
      <c r="W647">
        <v>0</v>
      </c>
      <c r="X647">
        <v>2</v>
      </c>
      <c r="Z647">
        <v>0</v>
      </c>
      <c r="AA647">
        <v>9</v>
      </c>
      <c r="AB647">
        <v>3</v>
      </c>
      <c r="AC647">
        <v>0</v>
      </c>
      <c r="AD647">
        <v>10</v>
      </c>
      <c r="AE647">
        <v>0</v>
      </c>
      <c r="AF647">
        <v>3</v>
      </c>
      <c r="AG647">
        <v>2</v>
      </c>
      <c r="AH647">
        <v>0</v>
      </c>
      <c r="AI647" t="s">
        <v>748</v>
      </c>
      <c r="AJ647">
        <v>45.784063000000003</v>
      </c>
      <c r="AK647" t="s">
        <v>749</v>
      </c>
      <c r="AL647">
        <v>-89.290717000000001</v>
      </c>
      <c r="AM647">
        <v>100</v>
      </c>
      <c r="AN647">
        <v>12000</v>
      </c>
      <c r="AO647" t="s">
        <v>118</v>
      </c>
      <c r="AP647">
        <v>140</v>
      </c>
      <c r="AQ647">
        <v>106</v>
      </c>
      <c r="AR647">
        <v>1216</v>
      </c>
      <c r="AZ647">
        <v>1200</v>
      </c>
      <c r="BA647">
        <v>1</v>
      </c>
      <c r="BB647" t="str">
        <f t="shared" si="33"/>
        <v xml:space="preserve">N690LS  </v>
      </c>
      <c r="BC647">
        <v>1</v>
      </c>
      <c r="BE647">
        <v>0</v>
      </c>
      <c r="BF647">
        <v>0</v>
      </c>
      <c r="BG647">
        <v>0</v>
      </c>
      <c r="BH647">
        <v>12425</v>
      </c>
      <c r="BI647">
        <v>1</v>
      </c>
      <c r="BJ647">
        <v>1</v>
      </c>
      <c r="BK647">
        <v>1</v>
      </c>
      <c r="BL647">
        <v>0</v>
      </c>
      <c r="BO647">
        <v>0</v>
      </c>
      <c r="BP647">
        <v>0</v>
      </c>
      <c r="BW647" t="str">
        <f>"13:55:53.386"</f>
        <v>13:55:53.386</v>
      </c>
      <c r="CJ647">
        <v>0</v>
      </c>
      <c r="CK647">
        <v>2</v>
      </c>
      <c r="CL647">
        <v>0</v>
      </c>
      <c r="CM647">
        <v>2</v>
      </c>
      <c r="CN647">
        <v>0</v>
      </c>
      <c r="CO647">
        <v>7</v>
      </c>
      <c r="CP647" t="s">
        <v>119</v>
      </c>
      <c r="CQ647">
        <v>197</v>
      </c>
      <c r="CR647">
        <v>0</v>
      </c>
      <c r="CW647">
        <v>16031724</v>
      </c>
      <c r="CY647">
        <v>1</v>
      </c>
      <c r="CZ647">
        <v>0</v>
      </c>
      <c r="DA647">
        <v>0</v>
      </c>
      <c r="DB647">
        <v>0</v>
      </c>
      <c r="DC647">
        <v>0</v>
      </c>
      <c r="DD647">
        <v>1</v>
      </c>
      <c r="DE647">
        <v>0</v>
      </c>
      <c r="DF647">
        <v>0</v>
      </c>
      <c r="DG647">
        <v>0</v>
      </c>
      <c r="DH647">
        <v>0</v>
      </c>
      <c r="DI647">
        <v>0</v>
      </c>
    </row>
    <row r="648" spans="1:113" x14ac:dyDescent="0.3">
      <c r="A648" t="str">
        <f>"09/28/2021 13:55:53.620"</f>
        <v>09/28/2021 13:55:53.620</v>
      </c>
      <c r="C648" t="str">
        <f t="shared" si="32"/>
        <v>FFDFD3C0</v>
      </c>
      <c r="D648" t="s">
        <v>113</v>
      </c>
      <c r="E648">
        <v>7</v>
      </c>
      <c r="H648">
        <v>170</v>
      </c>
      <c r="I648" t="s">
        <v>114</v>
      </c>
      <c r="J648" t="s">
        <v>115</v>
      </c>
      <c r="K648">
        <v>0</v>
      </c>
      <c r="L648">
        <v>3</v>
      </c>
      <c r="M648">
        <v>0</v>
      </c>
      <c r="N648">
        <v>2</v>
      </c>
      <c r="O648">
        <v>1</v>
      </c>
      <c r="P648">
        <v>0</v>
      </c>
      <c r="Q648">
        <v>0</v>
      </c>
      <c r="S648" t="str">
        <f>"13:55:53.383"</f>
        <v>13:55:53.383</v>
      </c>
      <c r="T648" t="str">
        <f>"13:55:52.983"</f>
        <v>13:55:52.983</v>
      </c>
      <c r="U648" t="str">
        <f t="shared" si="34"/>
        <v>A92BC1</v>
      </c>
      <c r="V648">
        <v>0</v>
      </c>
      <c r="W648">
        <v>0</v>
      </c>
      <c r="X648">
        <v>2</v>
      </c>
      <c r="Z648">
        <v>0</v>
      </c>
      <c r="AA648">
        <v>9</v>
      </c>
      <c r="AB648">
        <v>3</v>
      </c>
      <c r="AC648">
        <v>0</v>
      </c>
      <c r="AD648">
        <v>10</v>
      </c>
      <c r="AE648">
        <v>0</v>
      </c>
      <c r="AF648">
        <v>3</v>
      </c>
      <c r="AG648">
        <v>2</v>
      </c>
      <c r="AH648">
        <v>0</v>
      </c>
      <c r="AI648" t="s">
        <v>748</v>
      </c>
      <c r="AJ648">
        <v>45.784063000000003</v>
      </c>
      <c r="AK648" t="s">
        <v>749</v>
      </c>
      <c r="AL648">
        <v>-89.290717000000001</v>
      </c>
      <c r="AM648">
        <v>100</v>
      </c>
      <c r="AN648">
        <v>12000</v>
      </c>
      <c r="AO648" t="s">
        <v>118</v>
      </c>
      <c r="AP648">
        <v>140</v>
      </c>
      <c r="AQ648">
        <v>106</v>
      </c>
      <c r="AR648">
        <v>1216</v>
      </c>
      <c r="AZ648">
        <v>1200</v>
      </c>
      <c r="BA648">
        <v>1</v>
      </c>
      <c r="BB648" t="str">
        <f t="shared" si="33"/>
        <v xml:space="preserve">N690LS  </v>
      </c>
      <c r="BC648">
        <v>1</v>
      </c>
      <c r="BE648">
        <v>0</v>
      </c>
      <c r="BF648">
        <v>0</v>
      </c>
      <c r="BG648">
        <v>0</v>
      </c>
      <c r="BH648">
        <v>12425</v>
      </c>
      <c r="BI648">
        <v>1</v>
      </c>
      <c r="BJ648">
        <v>1</v>
      </c>
      <c r="BK648">
        <v>1</v>
      </c>
      <c r="BL648">
        <v>0</v>
      </c>
      <c r="BO648">
        <v>0</v>
      </c>
      <c r="BP648">
        <v>0</v>
      </c>
      <c r="BW648" t="str">
        <f>"13:55:53.386"</f>
        <v>13:55:53.386</v>
      </c>
      <c r="CJ648">
        <v>0</v>
      </c>
      <c r="CK648">
        <v>2</v>
      </c>
      <c r="CL648">
        <v>0</v>
      </c>
      <c r="CM648">
        <v>2</v>
      </c>
      <c r="CN648">
        <v>0</v>
      </c>
      <c r="CO648">
        <v>7</v>
      </c>
      <c r="CP648" t="s">
        <v>119</v>
      </c>
      <c r="CQ648">
        <v>197</v>
      </c>
      <c r="CR648">
        <v>0</v>
      </c>
      <c r="CW648">
        <v>16031724</v>
      </c>
      <c r="CY648">
        <v>1</v>
      </c>
      <c r="CZ648">
        <v>0</v>
      </c>
      <c r="DA648">
        <v>1</v>
      </c>
      <c r="DB648">
        <v>0</v>
      </c>
      <c r="DC648">
        <v>0</v>
      </c>
      <c r="DD648">
        <v>1</v>
      </c>
      <c r="DE648">
        <v>0</v>
      </c>
      <c r="DF648">
        <v>0</v>
      </c>
      <c r="DG648">
        <v>0</v>
      </c>
      <c r="DH648">
        <v>0</v>
      </c>
      <c r="DI648">
        <v>0</v>
      </c>
    </row>
    <row r="649" spans="1:113" x14ac:dyDescent="0.3">
      <c r="A649" t="str">
        <f>"09/28/2021 13:55:54.512"</f>
        <v>09/28/2021 13:55:54.512</v>
      </c>
      <c r="C649" t="str">
        <f t="shared" si="32"/>
        <v>FFDFD3C0</v>
      </c>
      <c r="D649" t="s">
        <v>113</v>
      </c>
      <c r="E649">
        <v>7</v>
      </c>
      <c r="H649">
        <v>170</v>
      </c>
      <c r="I649" t="s">
        <v>114</v>
      </c>
      <c r="J649" t="s">
        <v>115</v>
      </c>
      <c r="K649">
        <v>0</v>
      </c>
      <c r="L649">
        <v>3</v>
      </c>
      <c r="M649">
        <v>0</v>
      </c>
      <c r="N649">
        <v>2</v>
      </c>
      <c r="O649">
        <v>1</v>
      </c>
      <c r="P649">
        <v>0</v>
      </c>
      <c r="Q649">
        <v>0</v>
      </c>
      <c r="S649" t="str">
        <f>"13:55:54.297"</f>
        <v>13:55:54.297</v>
      </c>
      <c r="T649" t="str">
        <f>"13:55:53.997"</f>
        <v>13:55:53.997</v>
      </c>
      <c r="U649" t="str">
        <f t="shared" si="34"/>
        <v>A92BC1</v>
      </c>
      <c r="V649">
        <v>0</v>
      </c>
      <c r="W649">
        <v>0</v>
      </c>
      <c r="X649">
        <v>2</v>
      </c>
      <c r="Z649">
        <v>0</v>
      </c>
      <c r="AA649">
        <v>9</v>
      </c>
      <c r="AB649">
        <v>3</v>
      </c>
      <c r="AC649">
        <v>0</v>
      </c>
      <c r="AD649">
        <v>10</v>
      </c>
      <c r="AE649">
        <v>0</v>
      </c>
      <c r="AF649">
        <v>3</v>
      </c>
      <c r="AG649">
        <v>2</v>
      </c>
      <c r="AH649">
        <v>0</v>
      </c>
      <c r="AI649" t="s">
        <v>750</v>
      </c>
      <c r="AJ649">
        <v>45.784492</v>
      </c>
      <c r="AK649" t="s">
        <v>751</v>
      </c>
      <c r="AL649">
        <v>-89.289879999999997</v>
      </c>
      <c r="AM649">
        <v>100</v>
      </c>
      <c r="AN649">
        <v>12100</v>
      </c>
      <c r="AO649" t="s">
        <v>118</v>
      </c>
      <c r="AP649">
        <v>141</v>
      </c>
      <c r="AQ649">
        <v>106</v>
      </c>
      <c r="AR649">
        <v>1216</v>
      </c>
      <c r="AZ649">
        <v>1200</v>
      </c>
      <c r="BA649">
        <v>1</v>
      </c>
      <c r="BB649" t="str">
        <f t="shared" si="33"/>
        <v xml:space="preserve">N690LS  </v>
      </c>
      <c r="BC649">
        <v>1</v>
      </c>
      <c r="BE649">
        <v>0</v>
      </c>
      <c r="BF649">
        <v>0</v>
      </c>
      <c r="BG649">
        <v>0</v>
      </c>
      <c r="BH649">
        <v>12425</v>
      </c>
      <c r="BI649">
        <v>1</v>
      </c>
      <c r="BJ649">
        <v>1</v>
      </c>
      <c r="BK649">
        <v>1</v>
      </c>
      <c r="BL649">
        <v>0</v>
      </c>
      <c r="BO649">
        <v>0</v>
      </c>
      <c r="BP649">
        <v>0</v>
      </c>
      <c r="BW649" t="str">
        <f>"13:55:54.303"</f>
        <v>13:55:54.303</v>
      </c>
      <c r="CJ649">
        <v>0</v>
      </c>
      <c r="CK649">
        <v>2</v>
      </c>
      <c r="CL649">
        <v>0</v>
      </c>
      <c r="CM649">
        <v>2</v>
      </c>
      <c r="CN649">
        <v>0</v>
      </c>
      <c r="CO649">
        <v>6</v>
      </c>
      <c r="CP649" t="s">
        <v>119</v>
      </c>
      <c r="CQ649">
        <v>209</v>
      </c>
      <c r="CR649">
        <v>3</v>
      </c>
      <c r="CW649">
        <v>7209539</v>
      </c>
      <c r="CY649">
        <v>1</v>
      </c>
      <c r="CZ649">
        <v>0</v>
      </c>
      <c r="DA649">
        <v>0</v>
      </c>
      <c r="DB649">
        <v>0</v>
      </c>
      <c r="DC649">
        <v>0</v>
      </c>
      <c r="DD649">
        <v>1</v>
      </c>
      <c r="DE649">
        <v>0</v>
      </c>
      <c r="DF649">
        <v>0</v>
      </c>
      <c r="DG649">
        <v>0</v>
      </c>
      <c r="DH649">
        <v>0</v>
      </c>
      <c r="DI649">
        <v>0</v>
      </c>
    </row>
    <row r="650" spans="1:113" x14ac:dyDescent="0.3">
      <c r="A650" t="str">
        <f>"09/28/2021 13:55:54.543"</f>
        <v>09/28/2021 13:55:54.543</v>
      </c>
      <c r="C650" t="str">
        <f t="shared" si="32"/>
        <v>FFDFD3C0</v>
      </c>
      <c r="D650" t="s">
        <v>120</v>
      </c>
      <c r="E650">
        <v>12</v>
      </c>
      <c r="F650">
        <v>1012</v>
      </c>
      <c r="G650" t="s">
        <v>114</v>
      </c>
      <c r="J650" t="s">
        <v>121</v>
      </c>
      <c r="K650">
        <v>0</v>
      </c>
      <c r="L650">
        <v>3</v>
      </c>
      <c r="M650">
        <v>0</v>
      </c>
      <c r="N650">
        <v>2</v>
      </c>
      <c r="O650">
        <v>1</v>
      </c>
      <c r="P650">
        <v>0</v>
      </c>
      <c r="Q650">
        <v>0</v>
      </c>
      <c r="S650" t="str">
        <f>"13:55:54.297"</f>
        <v>13:55:54.297</v>
      </c>
      <c r="T650" t="str">
        <f>"13:55:53.997"</f>
        <v>13:55:53.997</v>
      </c>
      <c r="U650" t="str">
        <f t="shared" si="34"/>
        <v>A92BC1</v>
      </c>
      <c r="V650">
        <v>0</v>
      </c>
      <c r="W650">
        <v>0</v>
      </c>
      <c r="X650">
        <v>2</v>
      </c>
      <c r="Z650">
        <v>0</v>
      </c>
      <c r="AA650">
        <v>9</v>
      </c>
      <c r="AB650">
        <v>3</v>
      </c>
      <c r="AC650">
        <v>0</v>
      </c>
      <c r="AD650">
        <v>10</v>
      </c>
      <c r="AE650">
        <v>0</v>
      </c>
      <c r="AF650">
        <v>3</v>
      </c>
      <c r="AG650">
        <v>2</v>
      </c>
      <c r="AH650">
        <v>0</v>
      </c>
      <c r="AI650" t="s">
        <v>750</v>
      </c>
      <c r="AJ650">
        <v>45.784492</v>
      </c>
      <c r="AK650" t="s">
        <v>751</v>
      </c>
      <c r="AL650">
        <v>-89.289879999999997</v>
      </c>
      <c r="AM650">
        <v>100</v>
      </c>
      <c r="AN650">
        <v>12100</v>
      </c>
      <c r="AO650" t="s">
        <v>118</v>
      </c>
      <c r="AP650">
        <v>141</v>
      </c>
      <c r="AQ650">
        <v>106</v>
      </c>
      <c r="AR650">
        <v>1216</v>
      </c>
      <c r="AZ650">
        <v>1200</v>
      </c>
      <c r="BA650">
        <v>1</v>
      </c>
      <c r="BB650" t="str">
        <f t="shared" si="33"/>
        <v xml:space="preserve">N690LS  </v>
      </c>
      <c r="BC650">
        <v>1</v>
      </c>
      <c r="BE650">
        <v>0</v>
      </c>
      <c r="BF650">
        <v>0</v>
      </c>
      <c r="BG650">
        <v>0</v>
      </c>
      <c r="BH650">
        <v>12425</v>
      </c>
      <c r="BI650">
        <v>1</v>
      </c>
      <c r="BJ650">
        <v>1</v>
      </c>
      <c r="BK650">
        <v>1</v>
      </c>
      <c r="BL650">
        <v>0</v>
      </c>
      <c r="BO650">
        <v>0</v>
      </c>
      <c r="BP650">
        <v>0</v>
      </c>
      <c r="BW650" t="str">
        <f>"13:55:54.303"</f>
        <v>13:55:54.303</v>
      </c>
      <c r="CJ650">
        <v>0</v>
      </c>
      <c r="CK650">
        <v>2</v>
      </c>
      <c r="CL650">
        <v>0</v>
      </c>
      <c r="CM650">
        <v>2</v>
      </c>
      <c r="CN650">
        <v>0</v>
      </c>
      <c r="CO650">
        <v>6</v>
      </c>
      <c r="CP650" t="s">
        <v>119</v>
      </c>
      <c r="CQ650">
        <v>209</v>
      </c>
      <c r="CR650">
        <v>3</v>
      </c>
      <c r="CW650">
        <v>7209539</v>
      </c>
      <c r="CY650">
        <v>1</v>
      </c>
      <c r="CZ650">
        <v>0</v>
      </c>
      <c r="DA650">
        <v>1</v>
      </c>
      <c r="DB650">
        <v>0</v>
      </c>
      <c r="DC650">
        <v>0</v>
      </c>
      <c r="DD650">
        <v>1</v>
      </c>
      <c r="DE650">
        <v>0</v>
      </c>
      <c r="DF650">
        <v>0</v>
      </c>
      <c r="DG650">
        <v>0</v>
      </c>
      <c r="DH650">
        <v>0</v>
      </c>
      <c r="DI650">
        <v>0</v>
      </c>
    </row>
    <row r="651" spans="1:113" x14ac:dyDescent="0.3">
      <c r="A651" t="str">
        <f>"09/28/2021 13:55:55.480"</f>
        <v>09/28/2021 13:55:55.480</v>
      </c>
      <c r="C651" t="str">
        <f t="shared" si="32"/>
        <v>FFDFD3C0</v>
      </c>
      <c r="D651" t="s">
        <v>120</v>
      </c>
      <c r="E651">
        <v>12</v>
      </c>
      <c r="F651">
        <v>1012</v>
      </c>
      <c r="G651" t="s">
        <v>114</v>
      </c>
      <c r="J651" t="s">
        <v>121</v>
      </c>
      <c r="K651">
        <v>0</v>
      </c>
      <c r="L651">
        <v>3</v>
      </c>
      <c r="M651">
        <v>0</v>
      </c>
      <c r="N651">
        <v>2</v>
      </c>
      <c r="O651">
        <v>1</v>
      </c>
      <c r="P651">
        <v>0</v>
      </c>
      <c r="Q651">
        <v>0</v>
      </c>
      <c r="S651" t="str">
        <f>"13:55:55.297"</f>
        <v>13:55:55.297</v>
      </c>
      <c r="T651" t="str">
        <f>"13:55:54.797"</f>
        <v>13:55:54.797</v>
      </c>
      <c r="U651" t="str">
        <f t="shared" si="34"/>
        <v>A92BC1</v>
      </c>
      <c r="V651">
        <v>0</v>
      </c>
      <c r="W651">
        <v>0</v>
      </c>
      <c r="X651">
        <v>2</v>
      </c>
      <c r="Z651">
        <v>0</v>
      </c>
      <c r="AA651">
        <v>9</v>
      </c>
      <c r="AB651">
        <v>3</v>
      </c>
      <c r="AC651">
        <v>0</v>
      </c>
      <c r="AD651">
        <v>10</v>
      </c>
      <c r="AE651">
        <v>0</v>
      </c>
      <c r="AF651">
        <v>3</v>
      </c>
      <c r="AG651">
        <v>2</v>
      </c>
      <c r="AH651">
        <v>0</v>
      </c>
      <c r="AI651" t="s">
        <v>752</v>
      </c>
      <c r="AJ651">
        <v>45.784965</v>
      </c>
      <c r="AK651" t="s">
        <v>753</v>
      </c>
      <c r="AL651">
        <v>-89.288978999999998</v>
      </c>
      <c r="AM651">
        <v>100</v>
      </c>
      <c r="AN651">
        <v>12100</v>
      </c>
      <c r="AO651" t="s">
        <v>118</v>
      </c>
      <c r="AP651">
        <v>142</v>
      </c>
      <c r="AQ651">
        <v>106</v>
      </c>
      <c r="AR651">
        <v>1216</v>
      </c>
      <c r="AZ651">
        <v>1200</v>
      </c>
      <c r="BA651">
        <v>1</v>
      </c>
      <c r="BB651" t="str">
        <f t="shared" si="33"/>
        <v xml:space="preserve">N690LS  </v>
      </c>
      <c r="BC651">
        <v>1</v>
      </c>
      <c r="BE651">
        <v>0</v>
      </c>
      <c r="BF651">
        <v>0</v>
      </c>
      <c r="BG651">
        <v>0</v>
      </c>
      <c r="BH651">
        <v>12450</v>
      </c>
      <c r="BI651">
        <v>1</v>
      </c>
      <c r="BJ651">
        <v>1</v>
      </c>
      <c r="BK651">
        <v>1</v>
      </c>
      <c r="BL651">
        <v>0</v>
      </c>
      <c r="BO651">
        <v>0</v>
      </c>
      <c r="BP651">
        <v>0</v>
      </c>
      <c r="BW651" t="str">
        <f>"13:55:55.301"</f>
        <v>13:55:55.301</v>
      </c>
      <c r="CJ651">
        <v>0</v>
      </c>
      <c r="CK651">
        <v>2</v>
      </c>
      <c r="CL651">
        <v>0</v>
      </c>
      <c r="CM651">
        <v>2</v>
      </c>
      <c r="CN651">
        <v>0</v>
      </c>
      <c r="CO651">
        <v>6</v>
      </c>
      <c r="CP651" t="s">
        <v>119</v>
      </c>
      <c r="CQ651">
        <v>209</v>
      </c>
      <c r="CR651">
        <v>3</v>
      </c>
      <c r="CW651">
        <v>7209885</v>
      </c>
      <c r="CY651">
        <v>1</v>
      </c>
      <c r="CZ651">
        <v>0</v>
      </c>
      <c r="DA651">
        <v>0</v>
      </c>
      <c r="DB651">
        <v>0</v>
      </c>
      <c r="DC651">
        <v>0</v>
      </c>
      <c r="DD651">
        <v>1</v>
      </c>
      <c r="DE651">
        <v>0</v>
      </c>
      <c r="DF651">
        <v>0</v>
      </c>
      <c r="DG651">
        <v>0</v>
      </c>
      <c r="DH651">
        <v>0</v>
      </c>
      <c r="DI651">
        <v>0</v>
      </c>
    </row>
    <row r="652" spans="1:113" x14ac:dyDescent="0.3">
      <c r="A652" t="str">
        <f>"09/28/2021 13:55:55.512"</f>
        <v>09/28/2021 13:55:55.512</v>
      </c>
      <c r="C652" t="str">
        <f t="shared" si="32"/>
        <v>FFDFD3C0</v>
      </c>
      <c r="D652" t="s">
        <v>113</v>
      </c>
      <c r="E652">
        <v>7</v>
      </c>
      <c r="H652">
        <v>170</v>
      </c>
      <c r="I652" t="s">
        <v>114</v>
      </c>
      <c r="J652" t="s">
        <v>115</v>
      </c>
      <c r="K652">
        <v>0</v>
      </c>
      <c r="L652">
        <v>3</v>
      </c>
      <c r="M652">
        <v>0</v>
      </c>
      <c r="N652">
        <v>2</v>
      </c>
      <c r="O652">
        <v>1</v>
      </c>
      <c r="P652">
        <v>0</v>
      </c>
      <c r="Q652">
        <v>0</v>
      </c>
      <c r="S652" t="str">
        <f>"13:55:55.297"</f>
        <v>13:55:55.297</v>
      </c>
      <c r="T652" t="str">
        <f>"13:55:54.797"</f>
        <v>13:55:54.797</v>
      </c>
      <c r="U652" t="str">
        <f t="shared" si="34"/>
        <v>A92BC1</v>
      </c>
      <c r="V652">
        <v>0</v>
      </c>
      <c r="W652">
        <v>0</v>
      </c>
      <c r="X652">
        <v>2</v>
      </c>
      <c r="Z652">
        <v>0</v>
      </c>
      <c r="AA652">
        <v>9</v>
      </c>
      <c r="AB652">
        <v>3</v>
      </c>
      <c r="AC652">
        <v>0</v>
      </c>
      <c r="AD652">
        <v>10</v>
      </c>
      <c r="AE652">
        <v>0</v>
      </c>
      <c r="AF652">
        <v>3</v>
      </c>
      <c r="AG652">
        <v>2</v>
      </c>
      <c r="AH652">
        <v>0</v>
      </c>
      <c r="AI652" t="s">
        <v>752</v>
      </c>
      <c r="AJ652">
        <v>45.784965</v>
      </c>
      <c r="AK652" t="s">
        <v>753</v>
      </c>
      <c r="AL652">
        <v>-89.288978999999998</v>
      </c>
      <c r="AM652">
        <v>100</v>
      </c>
      <c r="AN652">
        <v>12100</v>
      </c>
      <c r="AO652" t="s">
        <v>118</v>
      </c>
      <c r="AP652">
        <v>142</v>
      </c>
      <c r="AQ652">
        <v>106</v>
      </c>
      <c r="AR652">
        <v>1216</v>
      </c>
      <c r="AZ652">
        <v>1200</v>
      </c>
      <c r="BA652">
        <v>1</v>
      </c>
      <c r="BB652" t="str">
        <f t="shared" si="33"/>
        <v xml:space="preserve">N690LS  </v>
      </c>
      <c r="BC652">
        <v>1</v>
      </c>
      <c r="BE652">
        <v>0</v>
      </c>
      <c r="BF652">
        <v>0</v>
      </c>
      <c r="BG652">
        <v>0</v>
      </c>
      <c r="BH652">
        <v>12450</v>
      </c>
      <c r="BI652">
        <v>1</v>
      </c>
      <c r="BJ652">
        <v>1</v>
      </c>
      <c r="BK652">
        <v>1</v>
      </c>
      <c r="BL652">
        <v>0</v>
      </c>
      <c r="BO652">
        <v>0</v>
      </c>
      <c r="BP652">
        <v>0</v>
      </c>
      <c r="BW652" t="str">
        <f>"13:55:55.301"</f>
        <v>13:55:55.301</v>
      </c>
      <c r="CJ652">
        <v>0</v>
      </c>
      <c r="CK652">
        <v>2</v>
      </c>
      <c r="CL652">
        <v>0</v>
      </c>
      <c r="CM652">
        <v>2</v>
      </c>
      <c r="CN652">
        <v>0</v>
      </c>
      <c r="CO652">
        <v>6</v>
      </c>
      <c r="CP652" t="s">
        <v>119</v>
      </c>
      <c r="CQ652">
        <v>209</v>
      </c>
      <c r="CR652">
        <v>3</v>
      </c>
      <c r="CW652">
        <v>7209885</v>
      </c>
      <c r="CY652">
        <v>1</v>
      </c>
      <c r="CZ652">
        <v>0</v>
      </c>
      <c r="DA652">
        <v>1</v>
      </c>
      <c r="DB652">
        <v>0</v>
      </c>
      <c r="DC652">
        <v>0</v>
      </c>
      <c r="DD652">
        <v>1</v>
      </c>
      <c r="DE652">
        <v>0</v>
      </c>
      <c r="DF652">
        <v>0</v>
      </c>
      <c r="DG652">
        <v>0</v>
      </c>
      <c r="DH652">
        <v>0</v>
      </c>
      <c r="DI652">
        <v>0</v>
      </c>
    </row>
    <row r="653" spans="1:113" x14ac:dyDescent="0.3">
      <c r="A653" t="str">
        <f>"09/28/2021 13:55:56.449"</f>
        <v>09/28/2021 13:55:56.449</v>
      </c>
      <c r="C653" t="str">
        <f t="shared" si="32"/>
        <v>FFDFD3C0</v>
      </c>
      <c r="D653" t="s">
        <v>113</v>
      </c>
      <c r="E653">
        <v>7</v>
      </c>
      <c r="H653">
        <v>170</v>
      </c>
      <c r="I653" t="s">
        <v>114</v>
      </c>
      <c r="J653" t="s">
        <v>115</v>
      </c>
      <c r="K653">
        <v>0</v>
      </c>
      <c r="L653">
        <v>3</v>
      </c>
      <c r="M653">
        <v>0</v>
      </c>
      <c r="N653">
        <v>2</v>
      </c>
      <c r="O653">
        <v>1</v>
      </c>
      <c r="P653">
        <v>0</v>
      </c>
      <c r="Q653">
        <v>0</v>
      </c>
      <c r="S653" t="str">
        <f>"13:55:56.250"</f>
        <v>13:55:56.250</v>
      </c>
      <c r="T653" t="str">
        <f>"13:55:55.850"</f>
        <v>13:55:55.850</v>
      </c>
      <c r="U653" t="str">
        <f t="shared" si="34"/>
        <v>A92BC1</v>
      </c>
      <c r="V653">
        <v>0</v>
      </c>
      <c r="W653">
        <v>0</v>
      </c>
      <c r="X653">
        <v>2</v>
      </c>
      <c r="Z653">
        <v>0</v>
      </c>
      <c r="AA653">
        <v>9</v>
      </c>
      <c r="AB653">
        <v>3</v>
      </c>
      <c r="AC653">
        <v>0</v>
      </c>
      <c r="AD653">
        <v>10</v>
      </c>
      <c r="AE653">
        <v>0</v>
      </c>
      <c r="AF653">
        <v>3</v>
      </c>
      <c r="AG653">
        <v>2</v>
      </c>
      <c r="AH653">
        <v>0</v>
      </c>
      <c r="AI653" t="s">
        <v>754</v>
      </c>
      <c r="AJ653">
        <v>45.78548</v>
      </c>
      <c r="AK653" t="s">
        <v>755</v>
      </c>
      <c r="AL653">
        <v>-89.288013000000007</v>
      </c>
      <c r="AM653">
        <v>100</v>
      </c>
      <c r="AN653">
        <v>12100</v>
      </c>
      <c r="AO653" t="s">
        <v>118</v>
      </c>
      <c r="AP653">
        <v>142</v>
      </c>
      <c r="AQ653">
        <v>106</v>
      </c>
      <c r="AR653">
        <v>1216</v>
      </c>
      <c r="AZ653">
        <v>1200</v>
      </c>
      <c r="BA653">
        <v>1</v>
      </c>
      <c r="BB653" t="str">
        <f t="shared" si="33"/>
        <v xml:space="preserve">N690LS  </v>
      </c>
      <c r="BC653">
        <v>1</v>
      </c>
      <c r="BE653">
        <v>0</v>
      </c>
      <c r="BF653">
        <v>0</v>
      </c>
      <c r="BG653">
        <v>0</v>
      </c>
      <c r="BH653">
        <v>12475</v>
      </c>
      <c r="BI653">
        <v>1</v>
      </c>
      <c r="BJ653">
        <v>1</v>
      </c>
      <c r="BK653">
        <v>1</v>
      </c>
      <c r="BL653">
        <v>0</v>
      </c>
      <c r="BO653">
        <v>0</v>
      </c>
      <c r="BP653">
        <v>0</v>
      </c>
      <c r="BW653" t="str">
        <f>"13:55:56.256"</f>
        <v>13:55:56.256</v>
      </c>
      <c r="CJ653">
        <v>0</v>
      </c>
      <c r="CK653">
        <v>2</v>
      </c>
      <c r="CL653">
        <v>0</v>
      </c>
      <c r="CM653">
        <v>2</v>
      </c>
      <c r="CN653">
        <v>0</v>
      </c>
      <c r="CO653">
        <v>6</v>
      </c>
      <c r="CP653" t="s">
        <v>119</v>
      </c>
      <c r="CQ653">
        <v>209</v>
      </c>
      <c r="CR653">
        <v>3</v>
      </c>
      <c r="CW653">
        <v>7210193</v>
      </c>
      <c r="CY653">
        <v>1</v>
      </c>
      <c r="CZ653">
        <v>0</v>
      </c>
      <c r="DA653">
        <v>0</v>
      </c>
      <c r="DB653">
        <v>0</v>
      </c>
      <c r="DC653">
        <v>0</v>
      </c>
      <c r="DD653">
        <v>1</v>
      </c>
      <c r="DE653">
        <v>0</v>
      </c>
      <c r="DF653">
        <v>0</v>
      </c>
      <c r="DG653">
        <v>0</v>
      </c>
      <c r="DH653">
        <v>0</v>
      </c>
      <c r="DI653">
        <v>0</v>
      </c>
    </row>
    <row r="654" spans="1:113" x14ac:dyDescent="0.3">
      <c r="A654" t="str">
        <f>"09/28/2021 13:55:56.449"</f>
        <v>09/28/2021 13:55:56.449</v>
      </c>
      <c r="C654" t="str">
        <f t="shared" si="32"/>
        <v>FFDFD3C0</v>
      </c>
      <c r="D654" t="s">
        <v>120</v>
      </c>
      <c r="E654">
        <v>12</v>
      </c>
      <c r="F654">
        <v>1012</v>
      </c>
      <c r="G654" t="s">
        <v>114</v>
      </c>
      <c r="J654" t="s">
        <v>121</v>
      </c>
      <c r="K654">
        <v>0</v>
      </c>
      <c r="L654">
        <v>3</v>
      </c>
      <c r="M654">
        <v>0</v>
      </c>
      <c r="N654">
        <v>2</v>
      </c>
      <c r="O654">
        <v>1</v>
      </c>
      <c r="P654">
        <v>0</v>
      </c>
      <c r="Q654">
        <v>0</v>
      </c>
      <c r="S654" t="str">
        <f>"13:55:56.250"</f>
        <v>13:55:56.250</v>
      </c>
      <c r="T654" t="str">
        <f>"13:55:55.850"</f>
        <v>13:55:55.850</v>
      </c>
      <c r="U654" t="str">
        <f t="shared" si="34"/>
        <v>A92BC1</v>
      </c>
      <c r="V654">
        <v>0</v>
      </c>
      <c r="W654">
        <v>0</v>
      </c>
      <c r="X654">
        <v>2</v>
      </c>
      <c r="Z654">
        <v>0</v>
      </c>
      <c r="AA654">
        <v>9</v>
      </c>
      <c r="AB654">
        <v>3</v>
      </c>
      <c r="AC654">
        <v>0</v>
      </c>
      <c r="AD654">
        <v>10</v>
      </c>
      <c r="AE654">
        <v>0</v>
      </c>
      <c r="AF654">
        <v>3</v>
      </c>
      <c r="AG654">
        <v>2</v>
      </c>
      <c r="AH654">
        <v>0</v>
      </c>
      <c r="AI654" t="s">
        <v>754</v>
      </c>
      <c r="AJ654">
        <v>45.78548</v>
      </c>
      <c r="AK654" t="s">
        <v>755</v>
      </c>
      <c r="AL654">
        <v>-89.288013000000007</v>
      </c>
      <c r="AM654">
        <v>100</v>
      </c>
      <c r="AN654">
        <v>12100</v>
      </c>
      <c r="AO654" t="s">
        <v>118</v>
      </c>
      <c r="AP654">
        <v>142</v>
      </c>
      <c r="AQ654">
        <v>106</v>
      </c>
      <c r="AR654">
        <v>1216</v>
      </c>
      <c r="AZ654">
        <v>1200</v>
      </c>
      <c r="BA654">
        <v>1</v>
      </c>
      <c r="BB654" t="str">
        <f t="shared" si="33"/>
        <v xml:space="preserve">N690LS  </v>
      </c>
      <c r="BC654">
        <v>1</v>
      </c>
      <c r="BE654">
        <v>0</v>
      </c>
      <c r="BF654">
        <v>0</v>
      </c>
      <c r="BG654">
        <v>0</v>
      </c>
      <c r="BH654">
        <v>12475</v>
      </c>
      <c r="BI654">
        <v>1</v>
      </c>
      <c r="BJ654">
        <v>1</v>
      </c>
      <c r="BK654">
        <v>1</v>
      </c>
      <c r="BL654">
        <v>0</v>
      </c>
      <c r="BO654">
        <v>0</v>
      </c>
      <c r="BP654">
        <v>0</v>
      </c>
      <c r="BW654" t="str">
        <f>"13:55:56.256"</f>
        <v>13:55:56.256</v>
      </c>
      <c r="CJ654">
        <v>0</v>
      </c>
      <c r="CK654">
        <v>2</v>
      </c>
      <c r="CL654">
        <v>0</v>
      </c>
      <c r="CM654">
        <v>2</v>
      </c>
      <c r="CN654">
        <v>0</v>
      </c>
      <c r="CO654">
        <v>6</v>
      </c>
      <c r="CP654" t="s">
        <v>119</v>
      </c>
      <c r="CQ654">
        <v>209</v>
      </c>
      <c r="CR654">
        <v>3</v>
      </c>
      <c r="CW654">
        <v>7210193</v>
      </c>
      <c r="CY654">
        <v>1</v>
      </c>
      <c r="CZ654">
        <v>0</v>
      </c>
      <c r="DA654">
        <v>1</v>
      </c>
      <c r="DB654">
        <v>0</v>
      </c>
      <c r="DC654">
        <v>0</v>
      </c>
      <c r="DD654">
        <v>1</v>
      </c>
      <c r="DE654">
        <v>0</v>
      </c>
      <c r="DF654">
        <v>0</v>
      </c>
      <c r="DG654">
        <v>0</v>
      </c>
      <c r="DH654">
        <v>0</v>
      </c>
      <c r="DI654">
        <v>0</v>
      </c>
    </row>
    <row r="655" spans="1:113" x14ac:dyDescent="0.3">
      <c r="A655" t="str">
        <f>"09/28/2021 13:55:57.541"</f>
        <v>09/28/2021 13:55:57.541</v>
      </c>
      <c r="C655" t="str">
        <f t="shared" si="32"/>
        <v>FFDFD3C0</v>
      </c>
      <c r="D655" t="s">
        <v>113</v>
      </c>
      <c r="E655">
        <v>7</v>
      </c>
      <c r="H655">
        <v>170</v>
      </c>
      <c r="I655" t="s">
        <v>114</v>
      </c>
      <c r="J655" t="s">
        <v>115</v>
      </c>
      <c r="K655">
        <v>0</v>
      </c>
      <c r="L655">
        <v>3</v>
      </c>
      <c r="M655">
        <v>0</v>
      </c>
      <c r="N655">
        <v>2</v>
      </c>
      <c r="O655">
        <v>1</v>
      </c>
      <c r="P655">
        <v>0</v>
      </c>
      <c r="Q655">
        <v>0</v>
      </c>
      <c r="S655" t="str">
        <f>"13:55:57.367"</f>
        <v>13:55:57.367</v>
      </c>
      <c r="T655" t="str">
        <f>"13:55:56.867"</f>
        <v>13:55:56.867</v>
      </c>
      <c r="U655" t="str">
        <f t="shared" si="34"/>
        <v>A92BC1</v>
      </c>
      <c r="V655">
        <v>0</v>
      </c>
      <c r="W655">
        <v>0</v>
      </c>
      <c r="X655">
        <v>2</v>
      </c>
      <c r="Z655">
        <v>0</v>
      </c>
      <c r="AA655">
        <v>9</v>
      </c>
      <c r="AB655">
        <v>3</v>
      </c>
      <c r="AC655">
        <v>0</v>
      </c>
      <c r="AD655">
        <v>10</v>
      </c>
      <c r="AE655">
        <v>0</v>
      </c>
      <c r="AF655">
        <v>3</v>
      </c>
      <c r="AG655">
        <v>2</v>
      </c>
      <c r="AH655">
        <v>0</v>
      </c>
      <c r="AI655" t="s">
        <v>756</v>
      </c>
      <c r="AJ655">
        <v>45.785972999999998</v>
      </c>
      <c r="AK655" t="s">
        <v>757</v>
      </c>
      <c r="AL655">
        <v>-89.286962000000003</v>
      </c>
      <c r="AM655">
        <v>100</v>
      </c>
      <c r="AN655">
        <v>12100</v>
      </c>
      <c r="AO655" t="s">
        <v>118</v>
      </c>
      <c r="AP655">
        <v>143</v>
      </c>
      <c r="AQ655">
        <v>106</v>
      </c>
      <c r="AR655">
        <v>1216</v>
      </c>
      <c r="AZ655">
        <v>1200</v>
      </c>
      <c r="BA655">
        <v>1</v>
      </c>
      <c r="BB655" t="str">
        <f t="shared" si="33"/>
        <v xml:space="preserve">N690LS  </v>
      </c>
      <c r="BC655">
        <v>1</v>
      </c>
      <c r="BE655">
        <v>0</v>
      </c>
      <c r="BF655">
        <v>0</v>
      </c>
      <c r="BG655">
        <v>0</v>
      </c>
      <c r="BH655">
        <v>12500</v>
      </c>
      <c r="BI655">
        <v>1</v>
      </c>
      <c r="BJ655">
        <v>1</v>
      </c>
      <c r="BK655">
        <v>1</v>
      </c>
      <c r="BL655">
        <v>0</v>
      </c>
      <c r="BO655">
        <v>0</v>
      </c>
      <c r="BP655">
        <v>0</v>
      </c>
      <c r="BW655" t="str">
        <f>"13:55:57.369"</f>
        <v>13:55:57.369</v>
      </c>
      <c r="CJ655">
        <v>0</v>
      </c>
      <c r="CK655">
        <v>2</v>
      </c>
      <c r="CL655">
        <v>0</v>
      </c>
      <c r="CM655">
        <v>2</v>
      </c>
      <c r="CN655">
        <v>0</v>
      </c>
      <c r="CO655">
        <v>6</v>
      </c>
      <c r="CP655" t="s">
        <v>119</v>
      </c>
      <c r="CQ655">
        <v>209</v>
      </c>
      <c r="CR655">
        <v>3</v>
      </c>
      <c r="CW655">
        <v>7210549</v>
      </c>
      <c r="CY655">
        <v>1</v>
      </c>
      <c r="CZ655">
        <v>0</v>
      </c>
      <c r="DA655">
        <v>0</v>
      </c>
      <c r="DB655">
        <v>0</v>
      </c>
      <c r="DC655">
        <v>0</v>
      </c>
      <c r="DD655">
        <v>1</v>
      </c>
      <c r="DE655">
        <v>0</v>
      </c>
      <c r="DF655">
        <v>0</v>
      </c>
      <c r="DG655">
        <v>0</v>
      </c>
      <c r="DH655">
        <v>0</v>
      </c>
      <c r="DI655">
        <v>0</v>
      </c>
    </row>
    <row r="656" spans="1:113" x14ac:dyDescent="0.3">
      <c r="A656" t="str">
        <f>"09/28/2021 13:55:57.573"</f>
        <v>09/28/2021 13:55:57.573</v>
      </c>
      <c r="C656" t="str">
        <f t="shared" si="32"/>
        <v>FFDFD3C0</v>
      </c>
      <c r="D656" t="s">
        <v>120</v>
      </c>
      <c r="E656">
        <v>12</v>
      </c>
      <c r="F656">
        <v>1012</v>
      </c>
      <c r="G656" t="s">
        <v>114</v>
      </c>
      <c r="J656" t="s">
        <v>121</v>
      </c>
      <c r="K656">
        <v>0</v>
      </c>
      <c r="L656">
        <v>3</v>
      </c>
      <c r="M656">
        <v>0</v>
      </c>
      <c r="N656">
        <v>2</v>
      </c>
      <c r="O656">
        <v>1</v>
      </c>
      <c r="P656">
        <v>0</v>
      </c>
      <c r="Q656">
        <v>0</v>
      </c>
      <c r="S656" t="str">
        <f>"13:55:57.367"</f>
        <v>13:55:57.367</v>
      </c>
      <c r="T656" t="str">
        <f>"13:55:56.867"</f>
        <v>13:55:56.867</v>
      </c>
      <c r="U656" t="str">
        <f t="shared" si="34"/>
        <v>A92BC1</v>
      </c>
      <c r="V656">
        <v>0</v>
      </c>
      <c r="W656">
        <v>0</v>
      </c>
      <c r="X656">
        <v>2</v>
      </c>
      <c r="Z656">
        <v>0</v>
      </c>
      <c r="AA656">
        <v>9</v>
      </c>
      <c r="AB656">
        <v>3</v>
      </c>
      <c r="AC656">
        <v>0</v>
      </c>
      <c r="AD656">
        <v>10</v>
      </c>
      <c r="AE656">
        <v>0</v>
      </c>
      <c r="AF656">
        <v>3</v>
      </c>
      <c r="AG656">
        <v>2</v>
      </c>
      <c r="AH656">
        <v>0</v>
      </c>
      <c r="AI656" t="s">
        <v>756</v>
      </c>
      <c r="AJ656">
        <v>45.785972999999998</v>
      </c>
      <c r="AK656" t="s">
        <v>757</v>
      </c>
      <c r="AL656">
        <v>-89.286962000000003</v>
      </c>
      <c r="AM656">
        <v>100</v>
      </c>
      <c r="AN656">
        <v>12100</v>
      </c>
      <c r="AO656" t="s">
        <v>118</v>
      </c>
      <c r="AP656">
        <v>143</v>
      </c>
      <c r="AQ656">
        <v>106</v>
      </c>
      <c r="AR656">
        <v>1216</v>
      </c>
      <c r="AZ656">
        <v>1200</v>
      </c>
      <c r="BA656">
        <v>1</v>
      </c>
      <c r="BB656" t="str">
        <f t="shared" si="33"/>
        <v xml:space="preserve">N690LS  </v>
      </c>
      <c r="BC656">
        <v>1</v>
      </c>
      <c r="BE656">
        <v>0</v>
      </c>
      <c r="BF656">
        <v>0</v>
      </c>
      <c r="BG656">
        <v>0</v>
      </c>
      <c r="BH656">
        <v>12500</v>
      </c>
      <c r="BI656">
        <v>1</v>
      </c>
      <c r="BJ656">
        <v>1</v>
      </c>
      <c r="BK656">
        <v>1</v>
      </c>
      <c r="BL656">
        <v>0</v>
      </c>
      <c r="BO656">
        <v>0</v>
      </c>
      <c r="BP656">
        <v>0</v>
      </c>
      <c r="BW656" t="str">
        <f>"13:55:57.369"</f>
        <v>13:55:57.369</v>
      </c>
      <c r="CJ656">
        <v>0</v>
      </c>
      <c r="CK656">
        <v>2</v>
      </c>
      <c r="CL656">
        <v>0</v>
      </c>
      <c r="CM656">
        <v>2</v>
      </c>
      <c r="CN656">
        <v>0</v>
      </c>
      <c r="CO656">
        <v>6</v>
      </c>
      <c r="CP656" t="s">
        <v>119</v>
      </c>
      <c r="CQ656">
        <v>209</v>
      </c>
      <c r="CR656">
        <v>3</v>
      </c>
      <c r="CW656">
        <v>7210549</v>
      </c>
      <c r="CY656">
        <v>1</v>
      </c>
      <c r="CZ656">
        <v>0</v>
      </c>
      <c r="DA656">
        <v>1</v>
      </c>
      <c r="DB656">
        <v>0</v>
      </c>
      <c r="DC656">
        <v>0</v>
      </c>
      <c r="DD656">
        <v>1</v>
      </c>
      <c r="DE656">
        <v>0</v>
      </c>
      <c r="DF656">
        <v>0</v>
      </c>
      <c r="DG656">
        <v>0</v>
      </c>
      <c r="DH656">
        <v>0</v>
      </c>
      <c r="DI656">
        <v>0</v>
      </c>
    </row>
    <row r="657" spans="1:113" x14ac:dyDescent="0.3">
      <c r="A657" t="str">
        <f>"09/28/2021 13:55:58.557"</f>
        <v>09/28/2021 13:55:58.557</v>
      </c>
      <c r="C657" t="str">
        <f t="shared" si="32"/>
        <v>FFDFD3C0</v>
      </c>
      <c r="D657" t="s">
        <v>113</v>
      </c>
      <c r="E657">
        <v>7</v>
      </c>
      <c r="H657">
        <v>170</v>
      </c>
      <c r="I657" t="s">
        <v>114</v>
      </c>
      <c r="J657" t="s">
        <v>115</v>
      </c>
      <c r="K657">
        <v>0</v>
      </c>
      <c r="L657">
        <v>3</v>
      </c>
      <c r="M657">
        <v>0</v>
      </c>
      <c r="N657">
        <v>2</v>
      </c>
      <c r="O657">
        <v>1</v>
      </c>
      <c r="P657">
        <v>0</v>
      </c>
      <c r="Q657">
        <v>0</v>
      </c>
      <c r="S657" t="str">
        <f>"13:55:58.297"</f>
        <v>13:55:58.297</v>
      </c>
      <c r="T657" t="str">
        <f>"13:55:57.897"</f>
        <v>13:55:57.897</v>
      </c>
      <c r="U657" t="str">
        <f t="shared" si="34"/>
        <v>A92BC1</v>
      </c>
      <c r="V657">
        <v>0</v>
      </c>
      <c r="W657">
        <v>0</v>
      </c>
      <c r="X657">
        <v>2</v>
      </c>
      <c r="Z657">
        <v>0</v>
      </c>
      <c r="AA657">
        <v>9</v>
      </c>
      <c r="AB657">
        <v>3</v>
      </c>
      <c r="AC657">
        <v>0</v>
      </c>
      <c r="AD657">
        <v>10</v>
      </c>
      <c r="AE657">
        <v>0</v>
      </c>
      <c r="AF657">
        <v>3</v>
      </c>
      <c r="AG657">
        <v>2</v>
      </c>
      <c r="AH657">
        <v>0</v>
      </c>
      <c r="AI657" t="s">
        <v>758</v>
      </c>
      <c r="AJ657">
        <v>45.786445000000001</v>
      </c>
      <c r="AK657" t="s">
        <v>759</v>
      </c>
      <c r="AL657">
        <v>-89.286102999999997</v>
      </c>
      <c r="AM657">
        <v>100</v>
      </c>
      <c r="AN657">
        <v>12100</v>
      </c>
      <c r="AO657" t="s">
        <v>118</v>
      </c>
      <c r="AP657">
        <v>143</v>
      </c>
      <c r="AQ657">
        <v>106</v>
      </c>
      <c r="AR657">
        <v>1280</v>
      </c>
      <c r="AZ657">
        <v>1200</v>
      </c>
      <c r="BA657">
        <v>1</v>
      </c>
      <c r="BB657" t="str">
        <f t="shared" si="33"/>
        <v xml:space="preserve">N690LS  </v>
      </c>
      <c r="BC657">
        <v>1</v>
      </c>
      <c r="BE657">
        <v>0</v>
      </c>
      <c r="BF657">
        <v>0</v>
      </c>
      <c r="BG657">
        <v>0</v>
      </c>
      <c r="BH657">
        <v>12525</v>
      </c>
      <c r="BI657">
        <v>1</v>
      </c>
      <c r="BJ657">
        <v>1</v>
      </c>
      <c r="BK657">
        <v>1</v>
      </c>
      <c r="BL657">
        <v>0</v>
      </c>
      <c r="BO657">
        <v>0</v>
      </c>
      <c r="BP657">
        <v>0</v>
      </c>
      <c r="BW657" t="str">
        <f>"13:55:58.301"</f>
        <v>13:55:58.301</v>
      </c>
      <c r="CJ657">
        <v>0</v>
      </c>
      <c r="CK657">
        <v>2</v>
      </c>
      <c r="CL657">
        <v>0</v>
      </c>
      <c r="CM657">
        <v>2</v>
      </c>
      <c r="CN657">
        <v>0</v>
      </c>
      <c r="CO657">
        <v>6</v>
      </c>
      <c r="CP657" t="s">
        <v>119</v>
      </c>
      <c r="CQ657">
        <v>209</v>
      </c>
      <c r="CR657">
        <v>3</v>
      </c>
      <c r="CW657">
        <v>7210821</v>
      </c>
      <c r="CY657">
        <v>1</v>
      </c>
      <c r="CZ657">
        <v>0</v>
      </c>
      <c r="DA657">
        <v>0</v>
      </c>
      <c r="DB657">
        <v>0</v>
      </c>
      <c r="DC657">
        <v>0</v>
      </c>
      <c r="DD657">
        <v>1</v>
      </c>
      <c r="DE657">
        <v>0</v>
      </c>
      <c r="DF657">
        <v>0</v>
      </c>
      <c r="DG657">
        <v>0</v>
      </c>
      <c r="DH657">
        <v>0</v>
      </c>
      <c r="DI657">
        <v>0</v>
      </c>
    </row>
    <row r="658" spans="1:113" x14ac:dyDescent="0.3">
      <c r="A658" t="str">
        <f>"09/28/2021 13:55:58.557"</f>
        <v>09/28/2021 13:55:58.557</v>
      </c>
      <c r="C658" t="str">
        <f t="shared" si="32"/>
        <v>FFDFD3C0</v>
      </c>
      <c r="D658" t="s">
        <v>120</v>
      </c>
      <c r="E658">
        <v>12</v>
      </c>
      <c r="F658">
        <v>1012</v>
      </c>
      <c r="G658" t="s">
        <v>114</v>
      </c>
      <c r="J658" t="s">
        <v>121</v>
      </c>
      <c r="K658">
        <v>0</v>
      </c>
      <c r="L658">
        <v>3</v>
      </c>
      <c r="M658">
        <v>0</v>
      </c>
      <c r="N658">
        <v>2</v>
      </c>
      <c r="O658">
        <v>1</v>
      </c>
      <c r="P658">
        <v>0</v>
      </c>
      <c r="Q658">
        <v>0</v>
      </c>
      <c r="S658" t="str">
        <f>"13:55:58.297"</f>
        <v>13:55:58.297</v>
      </c>
      <c r="T658" t="str">
        <f>"13:55:57.897"</f>
        <v>13:55:57.897</v>
      </c>
      <c r="U658" t="str">
        <f t="shared" si="34"/>
        <v>A92BC1</v>
      </c>
      <c r="V658">
        <v>0</v>
      </c>
      <c r="W658">
        <v>0</v>
      </c>
      <c r="X658">
        <v>2</v>
      </c>
      <c r="Z658">
        <v>0</v>
      </c>
      <c r="AA658">
        <v>9</v>
      </c>
      <c r="AB658">
        <v>3</v>
      </c>
      <c r="AC658">
        <v>0</v>
      </c>
      <c r="AD658">
        <v>10</v>
      </c>
      <c r="AE658">
        <v>0</v>
      </c>
      <c r="AF658">
        <v>3</v>
      </c>
      <c r="AG658">
        <v>2</v>
      </c>
      <c r="AH658">
        <v>0</v>
      </c>
      <c r="AI658" t="s">
        <v>758</v>
      </c>
      <c r="AJ658">
        <v>45.786445000000001</v>
      </c>
      <c r="AK658" t="s">
        <v>759</v>
      </c>
      <c r="AL658">
        <v>-89.286102999999997</v>
      </c>
      <c r="AM658">
        <v>100</v>
      </c>
      <c r="AN658">
        <v>12100</v>
      </c>
      <c r="AO658" t="s">
        <v>118</v>
      </c>
      <c r="AP658">
        <v>143</v>
      </c>
      <c r="AQ658">
        <v>106</v>
      </c>
      <c r="AR658">
        <v>1280</v>
      </c>
      <c r="AZ658">
        <v>1200</v>
      </c>
      <c r="BA658">
        <v>1</v>
      </c>
      <c r="BB658" t="str">
        <f t="shared" si="33"/>
        <v xml:space="preserve">N690LS  </v>
      </c>
      <c r="BC658">
        <v>1</v>
      </c>
      <c r="BE658">
        <v>0</v>
      </c>
      <c r="BF658">
        <v>0</v>
      </c>
      <c r="BG658">
        <v>0</v>
      </c>
      <c r="BH658">
        <v>12525</v>
      </c>
      <c r="BI658">
        <v>1</v>
      </c>
      <c r="BJ658">
        <v>1</v>
      </c>
      <c r="BK658">
        <v>1</v>
      </c>
      <c r="BL658">
        <v>0</v>
      </c>
      <c r="BO658">
        <v>0</v>
      </c>
      <c r="BP658">
        <v>0</v>
      </c>
      <c r="BW658" t="str">
        <f>"13:55:58.301"</f>
        <v>13:55:58.301</v>
      </c>
      <c r="CJ658">
        <v>0</v>
      </c>
      <c r="CK658">
        <v>2</v>
      </c>
      <c r="CL658">
        <v>0</v>
      </c>
      <c r="CM658">
        <v>2</v>
      </c>
      <c r="CN658">
        <v>0</v>
      </c>
      <c r="CO658">
        <v>6</v>
      </c>
      <c r="CP658" t="s">
        <v>119</v>
      </c>
      <c r="CQ658">
        <v>209</v>
      </c>
      <c r="CR658">
        <v>3</v>
      </c>
      <c r="CW658">
        <v>7210821</v>
      </c>
      <c r="CY658">
        <v>1</v>
      </c>
      <c r="CZ658">
        <v>0</v>
      </c>
      <c r="DA658">
        <v>1</v>
      </c>
      <c r="DB658">
        <v>0</v>
      </c>
      <c r="DC658">
        <v>0</v>
      </c>
      <c r="DD658">
        <v>1</v>
      </c>
      <c r="DE658">
        <v>0</v>
      </c>
      <c r="DF658">
        <v>0</v>
      </c>
      <c r="DG658">
        <v>0</v>
      </c>
      <c r="DH658">
        <v>0</v>
      </c>
      <c r="DI658">
        <v>0</v>
      </c>
    </row>
    <row r="659" spans="1:113" x14ac:dyDescent="0.3">
      <c r="A659" t="str">
        <f>"09/28/2021 13:55:59.574"</f>
        <v>09/28/2021 13:55:59.574</v>
      </c>
      <c r="C659" t="str">
        <f t="shared" si="32"/>
        <v>FFDFD3C0</v>
      </c>
      <c r="D659" t="s">
        <v>113</v>
      </c>
      <c r="E659">
        <v>7</v>
      </c>
      <c r="H659">
        <v>170</v>
      </c>
      <c r="I659" t="s">
        <v>114</v>
      </c>
      <c r="J659" t="s">
        <v>115</v>
      </c>
      <c r="K659">
        <v>0</v>
      </c>
      <c r="L659">
        <v>3</v>
      </c>
      <c r="M659">
        <v>0</v>
      </c>
      <c r="N659">
        <v>2</v>
      </c>
      <c r="O659">
        <v>1</v>
      </c>
      <c r="P659">
        <v>0</v>
      </c>
      <c r="Q659">
        <v>0</v>
      </c>
      <c r="S659" t="str">
        <f>"13:55:59.344"</f>
        <v>13:55:59.344</v>
      </c>
      <c r="T659" t="str">
        <f>"13:55:58.844"</f>
        <v>13:55:58.844</v>
      </c>
      <c r="U659" t="str">
        <f t="shared" si="34"/>
        <v>A92BC1</v>
      </c>
      <c r="V659">
        <v>0</v>
      </c>
      <c r="W659">
        <v>0</v>
      </c>
      <c r="X659">
        <v>2</v>
      </c>
      <c r="Z659">
        <v>0</v>
      </c>
      <c r="AA659">
        <v>9</v>
      </c>
      <c r="AB659">
        <v>3</v>
      </c>
      <c r="AC659">
        <v>0</v>
      </c>
      <c r="AD659">
        <v>10</v>
      </c>
      <c r="AE659">
        <v>0</v>
      </c>
      <c r="AF659">
        <v>3</v>
      </c>
      <c r="AG659">
        <v>2</v>
      </c>
      <c r="AH659">
        <v>0</v>
      </c>
      <c r="AI659" t="s">
        <v>760</v>
      </c>
      <c r="AJ659">
        <v>45.786982000000002</v>
      </c>
      <c r="AK659" t="s">
        <v>761</v>
      </c>
      <c r="AL659">
        <v>-89.285094999999998</v>
      </c>
      <c r="AM659">
        <v>100</v>
      </c>
      <c r="AN659">
        <v>12200</v>
      </c>
      <c r="AO659" t="s">
        <v>118</v>
      </c>
      <c r="AP659">
        <v>144</v>
      </c>
      <c r="AQ659">
        <v>106</v>
      </c>
      <c r="AR659">
        <v>1216</v>
      </c>
      <c r="AZ659">
        <v>1200</v>
      </c>
      <c r="BA659">
        <v>1</v>
      </c>
      <c r="BB659" t="str">
        <f t="shared" si="33"/>
        <v xml:space="preserve">N690LS  </v>
      </c>
      <c r="BC659">
        <v>1</v>
      </c>
      <c r="BE659">
        <v>0</v>
      </c>
      <c r="BF659">
        <v>0</v>
      </c>
      <c r="BG659">
        <v>0</v>
      </c>
      <c r="BH659">
        <v>12550</v>
      </c>
      <c r="BI659">
        <v>1</v>
      </c>
      <c r="BJ659">
        <v>1</v>
      </c>
      <c r="BK659">
        <v>1</v>
      </c>
      <c r="BL659">
        <v>0</v>
      </c>
      <c r="BO659">
        <v>0</v>
      </c>
      <c r="BP659">
        <v>0</v>
      </c>
      <c r="BW659" t="str">
        <f>"13:55:59.351"</f>
        <v>13:55:59.351</v>
      </c>
      <c r="CJ659">
        <v>0</v>
      </c>
      <c r="CK659">
        <v>2</v>
      </c>
      <c r="CL659">
        <v>0</v>
      </c>
      <c r="CM659">
        <v>2</v>
      </c>
      <c r="CN659">
        <v>0</v>
      </c>
      <c r="CO659">
        <v>7</v>
      </c>
      <c r="CP659" t="s">
        <v>119</v>
      </c>
      <c r="CQ659">
        <v>197</v>
      </c>
      <c r="CR659">
        <v>0</v>
      </c>
      <c r="CW659">
        <v>16033361</v>
      </c>
      <c r="CY659">
        <v>1</v>
      </c>
      <c r="CZ659">
        <v>0</v>
      </c>
      <c r="DA659">
        <v>0</v>
      </c>
      <c r="DB659">
        <v>0</v>
      </c>
      <c r="DC659">
        <v>0</v>
      </c>
      <c r="DD659">
        <v>1</v>
      </c>
      <c r="DE659">
        <v>0</v>
      </c>
      <c r="DF659">
        <v>0</v>
      </c>
      <c r="DG659">
        <v>0</v>
      </c>
      <c r="DH659">
        <v>0</v>
      </c>
      <c r="DI659">
        <v>0</v>
      </c>
    </row>
    <row r="660" spans="1:113" x14ac:dyDescent="0.3">
      <c r="A660" t="str">
        <f>"09/28/2021 13:55:59.574"</f>
        <v>09/28/2021 13:55:59.574</v>
      </c>
      <c r="C660" t="str">
        <f t="shared" si="32"/>
        <v>FFDFD3C0</v>
      </c>
      <c r="D660" t="s">
        <v>120</v>
      </c>
      <c r="E660">
        <v>12</v>
      </c>
      <c r="F660">
        <v>1012</v>
      </c>
      <c r="G660" t="s">
        <v>114</v>
      </c>
      <c r="J660" t="s">
        <v>121</v>
      </c>
      <c r="K660">
        <v>0</v>
      </c>
      <c r="L660">
        <v>3</v>
      </c>
      <c r="M660">
        <v>0</v>
      </c>
      <c r="N660">
        <v>2</v>
      </c>
      <c r="O660">
        <v>1</v>
      </c>
      <c r="P660">
        <v>0</v>
      </c>
      <c r="Q660">
        <v>0</v>
      </c>
      <c r="S660" t="str">
        <f>"13:55:59.344"</f>
        <v>13:55:59.344</v>
      </c>
      <c r="T660" t="str">
        <f>"13:55:58.844"</f>
        <v>13:55:58.844</v>
      </c>
      <c r="U660" t="str">
        <f t="shared" si="34"/>
        <v>A92BC1</v>
      </c>
      <c r="V660">
        <v>0</v>
      </c>
      <c r="W660">
        <v>0</v>
      </c>
      <c r="X660">
        <v>2</v>
      </c>
      <c r="Z660">
        <v>0</v>
      </c>
      <c r="AA660">
        <v>9</v>
      </c>
      <c r="AB660">
        <v>3</v>
      </c>
      <c r="AC660">
        <v>0</v>
      </c>
      <c r="AD660">
        <v>10</v>
      </c>
      <c r="AE660">
        <v>0</v>
      </c>
      <c r="AF660">
        <v>3</v>
      </c>
      <c r="AG660">
        <v>2</v>
      </c>
      <c r="AH660">
        <v>0</v>
      </c>
      <c r="AI660" t="s">
        <v>760</v>
      </c>
      <c r="AJ660">
        <v>45.786982000000002</v>
      </c>
      <c r="AK660" t="s">
        <v>761</v>
      </c>
      <c r="AL660">
        <v>-89.285094999999998</v>
      </c>
      <c r="AM660">
        <v>100</v>
      </c>
      <c r="AN660">
        <v>12200</v>
      </c>
      <c r="AO660" t="s">
        <v>118</v>
      </c>
      <c r="AP660">
        <v>144</v>
      </c>
      <c r="AQ660">
        <v>106</v>
      </c>
      <c r="AR660">
        <v>1216</v>
      </c>
      <c r="AZ660">
        <v>1200</v>
      </c>
      <c r="BA660">
        <v>1</v>
      </c>
      <c r="BB660" t="str">
        <f t="shared" si="33"/>
        <v xml:space="preserve">N690LS  </v>
      </c>
      <c r="BC660">
        <v>1</v>
      </c>
      <c r="BE660">
        <v>0</v>
      </c>
      <c r="BF660">
        <v>0</v>
      </c>
      <c r="BG660">
        <v>0</v>
      </c>
      <c r="BH660">
        <v>12550</v>
      </c>
      <c r="BI660">
        <v>1</v>
      </c>
      <c r="BJ660">
        <v>1</v>
      </c>
      <c r="BK660">
        <v>1</v>
      </c>
      <c r="BL660">
        <v>0</v>
      </c>
      <c r="BO660">
        <v>0</v>
      </c>
      <c r="BP660">
        <v>0</v>
      </c>
      <c r="BW660" t="str">
        <f>"13:55:59.351"</f>
        <v>13:55:59.351</v>
      </c>
      <c r="CJ660">
        <v>0</v>
      </c>
      <c r="CK660">
        <v>2</v>
      </c>
      <c r="CL660">
        <v>0</v>
      </c>
      <c r="CM660">
        <v>2</v>
      </c>
      <c r="CN660">
        <v>0</v>
      </c>
      <c r="CO660">
        <v>7</v>
      </c>
      <c r="CP660" t="s">
        <v>119</v>
      </c>
      <c r="CQ660">
        <v>197</v>
      </c>
      <c r="CR660">
        <v>0</v>
      </c>
      <c r="CW660">
        <v>16033361</v>
      </c>
      <c r="CY660">
        <v>1</v>
      </c>
      <c r="CZ660">
        <v>0</v>
      </c>
      <c r="DA660">
        <v>1</v>
      </c>
      <c r="DB660">
        <v>0</v>
      </c>
      <c r="DC660">
        <v>0</v>
      </c>
      <c r="DD660">
        <v>1</v>
      </c>
      <c r="DE660">
        <v>0</v>
      </c>
      <c r="DF660">
        <v>0</v>
      </c>
      <c r="DG660">
        <v>0</v>
      </c>
      <c r="DH660">
        <v>0</v>
      </c>
      <c r="DI660">
        <v>0</v>
      </c>
    </row>
    <row r="661" spans="1:113" x14ac:dyDescent="0.3">
      <c r="A661" t="str">
        <f>"09/28/2021 13:56:00.652"</f>
        <v>09/28/2021 13:56:00.652</v>
      </c>
      <c r="C661" t="str">
        <f t="shared" si="32"/>
        <v>FFDFD3C0</v>
      </c>
      <c r="D661" t="s">
        <v>113</v>
      </c>
      <c r="E661">
        <v>7</v>
      </c>
      <c r="H661">
        <v>170</v>
      </c>
      <c r="I661" t="s">
        <v>114</v>
      </c>
      <c r="J661" t="s">
        <v>115</v>
      </c>
      <c r="K661">
        <v>0</v>
      </c>
      <c r="L661">
        <v>3</v>
      </c>
      <c r="M661">
        <v>0</v>
      </c>
      <c r="N661">
        <v>2</v>
      </c>
      <c r="O661">
        <v>1</v>
      </c>
      <c r="P661">
        <v>0</v>
      </c>
      <c r="Q661">
        <v>0</v>
      </c>
      <c r="S661" t="str">
        <f>"13:56:00.383"</f>
        <v>13:56:00.383</v>
      </c>
      <c r="T661" t="str">
        <f>"13:55:59.883"</f>
        <v>13:55:59.883</v>
      </c>
      <c r="U661" t="str">
        <f t="shared" si="34"/>
        <v>A92BC1</v>
      </c>
      <c r="V661">
        <v>0</v>
      </c>
      <c r="W661">
        <v>0</v>
      </c>
      <c r="X661">
        <v>2</v>
      </c>
      <c r="Z661">
        <v>0</v>
      </c>
      <c r="AA661">
        <v>9</v>
      </c>
      <c r="AB661">
        <v>3</v>
      </c>
      <c r="AC661">
        <v>0</v>
      </c>
      <c r="AD661">
        <v>10</v>
      </c>
      <c r="AE661">
        <v>0</v>
      </c>
      <c r="AF661">
        <v>3</v>
      </c>
      <c r="AG661">
        <v>2</v>
      </c>
      <c r="AH661">
        <v>0</v>
      </c>
      <c r="AI661" t="s">
        <v>762</v>
      </c>
      <c r="AJ661">
        <v>45.787497000000002</v>
      </c>
      <c r="AK661" t="s">
        <v>763</v>
      </c>
      <c r="AL661">
        <v>-89.284150999999994</v>
      </c>
      <c r="AM661">
        <v>100</v>
      </c>
      <c r="AN661">
        <v>12200</v>
      </c>
      <c r="AO661" t="s">
        <v>118</v>
      </c>
      <c r="AP661">
        <v>145</v>
      </c>
      <c r="AQ661">
        <v>106</v>
      </c>
      <c r="AR661">
        <v>1216</v>
      </c>
      <c r="AZ661">
        <v>1200</v>
      </c>
      <c r="BA661">
        <v>1</v>
      </c>
      <c r="BB661" t="str">
        <f t="shared" si="33"/>
        <v xml:space="preserve">N690LS  </v>
      </c>
      <c r="BC661">
        <v>1</v>
      </c>
      <c r="BE661">
        <v>0</v>
      </c>
      <c r="BF661">
        <v>0</v>
      </c>
      <c r="BG661">
        <v>0</v>
      </c>
      <c r="BH661">
        <v>12575</v>
      </c>
      <c r="BI661">
        <v>1</v>
      </c>
      <c r="BJ661">
        <v>1</v>
      </c>
      <c r="BK661">
        <v>1</v>
      </c>
      <c r="BL661">
        <v>0</v>
      </c>
      <c r="BO661">
        <v>0</v>
      </c>
      <c r="BP661">
        <v>0</v>
      </c>
      <c r="BW661" t="str">
        <f>"13:56:00.387"</f>
        <v>13:56:00.387</v>
      </c>
      <c r="CJ661">
        <v>0</v>
      </c>
      <c r="CK661">
        <v>2</v>
      </c>
      <c r="CL661">
        <v>0</v>
      </c>
      <c r="CM661">
        <v>2</v>
      </c>
      <c r="CN661">
        <v>0</v>
      </c>
      <c r="CO661">
        <v>6</v>
      </c>
      <c r="CP661" t="s">
        <v>119</v>
      </c>
      <c r="CQ661">
        <v>209</v>
      </c>
      <c r="CR661">
        <v>3</v>
      </c>
      <c r="CW661">
        <v>7211504</v>
      </c>
      <c r="CY661">
        <v>1</v>
      </c>
      <c r="CZ661">
        <v>0</v>
      </c>
      <c r="DA661">
        <v>0</v>
      </c>
      <c r="DB661">
        <v>0</v>
      </c>
      <c r="DC661">
        <v>0</v>
      </c>
      <c r="DD661">
        <v>1</v>
      </c>
      <c r="DE661">
        <v>0</v>
      </c>
      <c r="DF661">
        <v>0</v>
      </c>
      <c r="DG661">
        <v>0</v>
      </c>
      <c r="DH661">
        <v>0</v>
      </c>
      <c r="DI661">
        <v>0</v>
      </c>
    </row>
    <row r="662" spans="1:113" x14ac:dyDescent="0.3">
      <c r="A662" t="str">
        <f>"09/28/2021 13:56:00.668"</f>
        <v>09/28/2021 13:56:00.668</v>
      </c>
      <c r="C662" t="str">
        <f t="shared" si="32"/>
        <v>FFDFD3C0</v>
      </c>
      <c r="D662" t="s">
        <v>120</v>
      </c>
      <c r="E662">
        <v>12</v>
      </c>
      <c r="F662">
        <v>1012</v>
      </c>
      <c r="G662" t="s">
        <v>114</v>
      </c>
      <c r="J662" t="s">
        <v>121</v>
      </c>
      <c r="K662">
        <v>0</v>
      </c>
      <c r="L662">
        <v>3</v>
      </c>
      <c r="M662">
        <v>0</v>
      </c>
      <c r="N662">
        <v>2</v>
      </c>
      <c r="O662">
        <v>1</v>
      </c>
      <c r="P662">
        <v>0</v>
      </c>
      <c r="Q662">
        <v>0</v>
      </c>
      <c r="S662" t="str">
        <f>"13:56:00.383"</f>
        <v>13:56:00.383</v>
      </c>
      <c r="U662" t="str">
        <f t="shared" si="34"/>
        <v>A92BC1</v>
      </c>
      <c r="V662">
        <v>0</v>
      </c>
      <c r="W662">
        <v>0</v>
      </c>
      <c r="X662">
        <v>2</v>
      </c>
      <c r="Z662">
        <v>0</v>
      </c>
      <c r="AA662">
        <v>9</v>
      </c>
      <c r="AB662">
        <v>3</v>
      </c>
      <c r="AC662">
        <v>0</v>
      </c>
      <c r="AD662">
        <v>10</v>
      </c>
      <c r="AE662">
        <v>0</v>
      </c>
      <c r="AF662">
        <v>3</v>
      </c>
      <c r="AG662">
        <v>2</v>
      </c>
      <c r="AH662">
        <v>0</v>
      </c>
      <c r="AI662" t="s">
        <v>762</v>
      </c>
      <c r="AJ662">
        <v>45.787497000000002</v>
      </c>
      <c r="AK662" t="s">
        <v>763</v>
      </c>
      <c r="AL662">
        <v>-89.284150999999994</v>
      </c>
      <c r="AM662">
        <v>100</v>
      </c>
      <c r="AN662">
        <v>12200</v>
      </c>
      <c r="AO662" t="s">
        <v>118</v>
      </c>
      <c r="AP662">
        <v>145</v>
      </c>
      <c r="AQ662">
        <v>106</v>
      </c>
      <c r="AR662">
        <v>1216</v>
      </c>
      <c r="AZ662">
        <v>1200</v>
      </c>
      <c r="BA662">
        <v>1</v>
      </c>
      <c r="BB662" t="str">
        <f t="shared" si="33"/>
        <v xml:space="preserve">N690LS  </v>
      </c>
      <c r="BC662">
        <v>1</v>
      </c>
      <c r="BE662">
        <v>0</v>
      </c>
      <c r="BF662">
        <v>0</v>
      </c>
      <c r="BG662">
        <v>0</v>
      </c>
      <c r="BH662">
        <v>12575</v>
      </c>
      <c r="BI662">
        <v>1</v>
      </c>
      <c r="BJ662">
        <v>1</v>
      </c>
      <c r="BK662">
        <v>1</v>
      </c>
      <c r="BL662">
        <v>0</v>
      </c>
      <c r="BO662">
        <v>0</v>
      </c>
      <c r="BP662">
        <v>0</v>
      </c>
      <c r="BW662" t="str">
        <f>"13:56:00.387"</f>
        <v>13:56:00.387</v>
      </c>
      <c r="CJ662">
        <v>0</v>
      </c>
      <c r="CK662">
        <v>2</v>
      </c>
      <c r="CL662">
        <v>0</v>
      </c>
      <c r="CM662">
        <v>2</v>
      </c>
      <c r="CN662">
        <v>0</v>
      </c>
      <c r="CO662">
        <v>4</v>
      </c>
      <c r="CP662" t="s">
        <v>119</v>
      </c>
      <c r="CQ662">
        <v>550</v>
      </c>
      <c r="CR662">
        <v>0</v>
      </c>
      <c r="CW662">
        <v>5544126</v>
      </c>
      <c r="CY662">
        <v>1</v>
      </c>
      <c r="CZ662">
        <v>0</v>
      </c>
      <c r="DA662">
        <v>1</v>
      </c>
      <c r="DB662">
        <v>0</v>
      </c>
      <c r="DC662">
        <v>0</v>
      </c>
      <c r="DD662">
        <v>1</v>
      </c>
      <c r="DE662">
        <v>0</v>
      </c>
      <c r="DF662">
        <v>0</v>
      </c>
      <c r="DG662">
        <v>0</v>
      </c>
      <c r="DH662">
        <v>0</v>
      </c>
      <c r="DI662">
        <v>0</v>
      </c>
    </row>
    <row r="663" spans="1:113" x14ac:dyDescent="0.3">
      <c r="A663" t="str">
        <f>"09/28/2021 13:56:01.653"</f>
        <v>09/28/2021 13:56:01.653</v>
      </c>
      <c r="C663" t="str">
        <f t="shared" si="32"/>
        <v>FFDFD3C0</v>
      </c>
      <c r="D663" t="s">
        <v>113</v>
      </c>
      <c r="E663">
        <v>7</v>
      </c>
      <c r="H663">
        <v>170</v>
      </c>
      <c r="I663" t="s">
        <v>114</v>
      </c>
      <c r="J663" t="s">
        <v>115</v>
      </c>
      <c r="K663">
        <v>0</v>
      </c>
      <c r="L663">
        <v>3</v>
      </c>
      <c r="M663">
        <v>0</v>
      </c>
      <c r="N663">
        <v>2</v>
      </c>
      <c r="O663">
        <v>1</v>
      </c>
      <c r="P663">
        <v>0</v>
      </c>
      <c r="Q663">
        <v>0</v>
      </c>
      <c r="S663" t="str">
        <f>"13:56:01.313"</f>
        <v>13:56:01.313</v>
      </c>
      <c r="T663" t="str">
        <f>"13:56:00.813"</f>
        <v>13:56:00.813</v>
      </c>
      <c r="U663" t="str">
        <f t="shared" si="34"/>
        <v>A92BC1</v>
      </c>
      <c r="V663">
        <v>0</v>
      </c>
      <c r="W663">
        <v>0</v>
      </c>
      <c r="X663">
        <v>2</v>
      </c>
      <c r="Z663">
        <v>0</v>
      </c>
      <c r="AA663">
        <v>9</v>
      </c>
      <c r="AB663">
        <v>3</v>
      </c>
      <c r="AC663">
        <v>0</v>
      </c>
      <c r="AD663">
        <v>10</v>
      </c>
      <c r="AE663">
        <v>0</v>
      </c>
      <c r="AF663">
        <v>3</v>
      </c>
      <c r="AG663">
        <v>2</v>
      </c>
      <c r="AH663">
        <v>0</v>
      </c>
      <c r="AI663" t="s">
        <v>764</v>
      </c>
      <c r="AJ663">
        <v>45.787903999999997</v>
      </c>
      <c r="AK663" t="s">
        <v>765</v>
      </c>
      <c r="AL663">
        <v>-89.283270999999999</v>
      </c>
      <c r="AM663">
        <v>100</v>
      </c>
      <c r="AN663">
        <v>12200</v>
      </c>
      <c r="AO663" t="s">
        <v>118</v>
      </c>
      <c r="AP663">
        <v>145</v>
      </c>
      <c r="AQ663">
        <v>106</v>
      </c>
      <c r="AR663">
        <v>1216</v>
      </c>
      <c r="AZ663">
        <v>1200</v>
      </c>
      <c r="BA663">
        <v>1</v>
      </c>
      <c r="BB663" t="str">
        <f t="shared" si="33"/>
        <v xml:space="preserve">N690LS  </v>
      </c>
      <c r="BC663">
        <v>1</v>
      </c>
      <c r="BE663">
        <v>0</v>
      </c>
      <c r="BF663">
        <v>0</v>
      </c>
      <c r="BG663">
        <v>0</v>
      </c>
      <c r="BH663">
        <v>12575</v>
      </c>
      <c r="BI663">
        <v>1</v>
      </c>
      <c r="BJ663">
        <v>1</v>
      </c>
      <c r="BK663">
        <v>1</v>
      </c>
      <c r="BL663">
        <v>0</v>
      </c>
      <c r="BO663">
        <v>0</v>
      </c>
      <c r="BP663">
        <v>0</v>
      </c>
      <c r="BW663" t="str">
        <f>"13:56:01.319"</f>
        <v>13:56:01.319</v>
      </c>
      <c r="CJ663">
        <v>0</v>
      </c>
      <c r="CK663">
        <v>2</v>
      </c>
      <c r="CL663">
        <v>0</v>
      </c>
      <c r="CM663">
        <v>2</v>
      </c>
      <c r="CN663">
        <v>0</v>
      </c>
      <c r="CO663">
        <v>6</v>
      </c>
      <c r="CP663" t="s">
        <v>119</v>
      </c>
      <c r="CQ663">
        <v>209</v>
      </c>
      <c r="CR663">
        <v>3</v>
      </c>
      <c r="CW663">
        <v>7211771</v>
      </c>
      <c r="CY663">
        <v>1</v>
      </c>
      <c r="CZ663">
        <v>0</v>
      </c>
      <c r="DA663">
        <v>0</v>
      </c>
      <c r="DB663">
        <v>0</v>
      </c>
      <c r="DC663">
        <v>0</v>
      </c>
      <c r="DD663">
        <v>1</v>
      </c>
      <c r="DE663">
        <v>0</v>
      </c>
      <c r="DF663">
        <v>0</v>
      </c>
      <c r="DG663">
        <v>0</v>
      </c>
      <c r="DH663">
        <v>0</v>
      </c>
      <c r="DI663">
        <v>0</v>
      </c>
    </row>
    <row r="664" spans="1:113" x14ac:dyDescent="0.3">
      <c r="A664" t="str">
        <f>"09/28/2021 13:56:01.653"</f>
        <v>09/28/2021 13:56:01.653</v>
      </c>
      <c r="C664" t="str">
        <f t="shared" si="32"/>
        <v>FFDFD3C0</v>
      </c>
      <c r="D664" t="s">
        <v>120</v>
      </c>
      <c r="E664">
        <v>12</v>
      </c>
      <c r="F664">
        <v>1012</v>
      </c>
      <c r="G664" t="s">
        <v>114</v>
      </c>
      <c r="J664" t="s">
        <v>121</v>
      </c>
      <c r="K664">
        <v>0</v>
      </c>
      <c r="L664">
        <v>3</v>
      </c>
      <c r="M664">
        <v>0</v>
      </c>
      <c r="N664">
        <v>2</v>
      </c>
      <c r="O664">
        <v>1</v>
      </c>
      <c r="P664">
        <v>0</v>
      </c>
      <c r="Q664">
        <v>0</v>
      </c>
      <c r="S664" t="str">
        <f>"13:56:01.313"</f>
        <v>13:56:01.313</v>
      </c>
      <c r="T664" t="str">
        <f>"13:56:00.813"</f>
        <v>13:56:00.813</v>
      </c>
      <c r="U664" t="str">
        <f t="shared" si="34"/>
        <v>A92BC1</v>
      </c>
      <c r="V664">
        <v>0</v>
      </c>
      <c r="W664">
        <v>0</v>
      </c>
      <c r="X664">
        <v>2</v>
      </c>
      <c r="Z664">
        <v>0</v>
      </c>
      <c r="AA664">
        <v>9</v>
      </c>
      <c r="AB664">
        <v>3</v>
      </c>
      <c r="AC664">
        <v>0</v>
      </c>
      <c r="AD664">
        <v>10</v>
      </c>
      <c r="AE664">
        <v>0</v>
      </c>
      <c r="AF664">
        <v>3</v>
      </c>
      <c r="AG664">
        <v>2</v>
      </c>
      <c r="AH664">
        <v>0</v>
      </c>
      <c r="AI664" t="s">
        <v>764</v>
      </c>
      <c r="AJ664">
        <v>45.787903999999997</v>
      </c>
      <c r="AK664" t="s">
        <v>765</v>
      </c>
      <c r="AL664">
        <v>-89.283270999999999</v>
      </c>
      <c r="AM664">
        <v>100</v>
      </c>
      <c r="AN664">
        <v>12200</v>
      </c>
      <c r="AO664" t="s">
        <v>118</v>
      </c>
      <c r="AP664">
        <v>145</v>
      </c>
      <c r="AQ664">
        <v>106</v>
      </c>
      <c r="AR664">
        <v>1216</v>
      </c>
      <c r="AZ664">
        <v>1200</v>
      </c>
      <c r="BA664">
        <v>1</v>
      </c>
      <c r="BB664" t="str">
        <f t="shared" si="33"/>
        <v xml:space="preserve">N690LS  </v>
      </c>
      <c r="BC664">
        <v>1</v>
      </c>
      <c r="BE664">
        <v>0</v>
      </c>
      <c r="BF664">
        <v>0</v>
      </c>
      <c r="BG664">
        <v>0</v>
      </c>
      <c r="BH664">
        <v>12575</v>
      </c>
      <c r="BI664">
        <v>1</v>
      </c>
      <c r="BJ664">
        <v>1</v>
      </c>
      <c r="BK664">
        <v>1</v>
      </c>
      <c r="BL664">
        <v>0</v>
      </c>
      <c r="BO664">
        <v>0</v>
      </c>
      <c r="BP664">
        <v>0</v>
      </c>
      <c r="BW664" t="str">
        <f>"13:56:01.319"</f>
        <v>13:56:01.319</v>
      </c>
      <c r="CJ664">
        <v>0</v>
      </c>
      <c r="CK664">
        <v>2</v>
      </c>
      <c r="CL664">
        <v>0</v>
      </c>
      <c r="CM664">
        <v>2</v>
      </c>
      <c r="CN664">
        <v>0</v>
      </c>
      <c r="CO664">
        <v>6</v>
      </c>
      <c r="CP664" t="s">
        <v>119</v>
      </c>
      <c r="CQ664">
        <v>209</v>
      </c>
      <c r="CR664">
        <v>3</v>
      </c>
      <c r="CW664">
        <v>7211771</v>
      </c>
      <c r="CY664">
        <v>1</v>
      </c>
      <c r="CZ664">
        <v>0</v>
      </c>
      <c r="DA664">
        <v>1</v>
      </c>
      <c r="DB664">
        <v>0</v>
      </c>
      <c r="DC664">
        <v>0</v>
      </c>
      <c r="DD664">
        <v>1</v>
      </c>
      <c r="DE664">
        <v>0</v>
      </c>
      <c r="DF664">
        <v>0</v>
      </c>
      <c r="DG664">
        <v>0</v>
      </c>
      <c r="DH664">
        <v>0</v>
      </c>
      <c r="DI664">
        <v>0</v>
      </c>
    </row>
    <row r="665" spans="1:113" x14ac:dyDescent="0.3">
      <c r="A665" t="str">
        <f>"09/28/2021 13:56:02.465"</f>
        <v>09/28/2021 13:56:02.465</v>
      </c>
      <c r="C665" t="str">
        <f t="shared" si="32"/>
        <v>FFDFD3C0</v>
      </c>
      <c r="D665" t="s">
        <v>113</v>
      </c>
      <c r="E665">
        <v>7</v>
      </c>
      <c r="H665">
        <v>170</v>
      </c>
      <c r="I665" t="s">
        <v>114</v>
      </c>
      <c r="J665" t="s">
        <v>115</v>
      </c>
      <c r="K665">
        <v>0</v>
      </c>
      <c r="L665">
        <v>3</v>
      </c>
      <c r="M665">
        <v>0</v>
      </c>
      <c r="N665">
        <v>2</v>
      </c>
      <c r="O665">
        <v>1</v>
      </c>
      <c r="P665">
        <v>0</v>
      </c>
      <c r="Q665">
        <v>0</v>
      </c>
      <c r="S665" t="str">
        <f>"13:56:02.195"</f>
        <v>13:56:02.195</v>
      </c>
      <c r="T665" t="str">
        <f>"13:56:01.795"</f>
        <v>13:56:01.795</v>
      </c>
      <c r="U665" t="str">
        <f t="shared" si="34"/>
        <v>A92BC1</v>
      </c>
      <c r="V665">
        <v>0</v>
      </c>
      <c r="W665">
        <v>0</v>
      </c>
      <c r="X665">
        <v>2</v>
      </c>
      <c r="Z665">
        <v>0</v>
      </c>
      <c r="AA665">
        <v>9</v>
      </c>
      <c r="AB665">
        <v>3</v>
      </c>
      <c r="AC665">
        <v>0</v>
      </c>
      <c r="AD665">
        <v>10</v>
      </c>
      <c r="AE665">
        <v>0</v>
      </c>
      <c r="AF665">
        <v>3</v>
      </c>
      <c r="AG665">
        <v>2</v>
      </c>
      <c r="AH665">
        <v>0</v>
      </c>
      <c r="AI665" t="s">
        <v>766</v>
      </c>
      <c r="AJ665">
        <v>45.788355000000003</v>
      </c>
      <c r="AK665" t="s">
        <v>767</v>
      </c>
      <c r="AL665">
        <v>-89.282413000000005</v>
      </c>
      <c r="AM665">
        <v>100</v>
      </c>
      <c r="AN665">
        <v>12200</v>
      </c>
      <c r="AO665" t="s">
        <v>118</v>
      </c>
      <c r="AP665">
        <v>146</v>
      </c>
      <c r="AQ665">
        <v>106</v>
      </c>
      <c r="AR665">
        <v>1216</v>
      </c>
      <c r="AZ665">
        <v>1200</v>
      </c>
      <c r="BA665">
        <v>1</v>
      </c>
      <c r="BB665" t="str">
        <f t="shared" si="33"/>
        <v xml:space="preserve">N690LS  </v>
      </c>
      <c r="BC665">
        <v>1</v>
      </c>
      <c r="BE665">
        <v>0</v>
      </c>
      <c r="BF665">
        <v>0</v>
      </c>
      <c r="BG665">
        <v>0</v>
      </c>
      <c r="BH665">
        <v>12600</v>
      </c>
      <c r="BI665">
        <v>1</v>
      </c>
      <c r="BJ665">
        <v>1</v>
      </c>
      <c r="BK665">
        <v>1</v>
      </c>
      <c r="BL665">
        <v>0</v>
      </c>
      <c r="BO665">
        <v>0</v>
      </c>
      <c r="BP665">
        <v>0</v>
      </c>
      <c r="BW665" t="str">
        <f>"13:56:02.202"</f>
        <v>13:56:02.202</v>
      </c>
      <c r="CJ665">
        <v>0</v>
      </c>
      <c r="CK665">
        <v>2</v>
      </c>
      <c r="CL665">
        <v>0</v>
      </c>
      <c r="CM665">
        <v>2</v>
      </c>
      <c r="CN665">
        <v>0</v>
      </c>
      <c r="CO665">
        <v>7</v>
      </c>
      <c r="CP665" t="s">
        <v>119</v>
      </c>
      <c r="CQ665">
        <v>197</v>
      </c>
      <c r="CR665">
        <v>0</v>
      </c>
      <c r="CW665">
        <v>16034145</v>
      </c>
      <c r="CY665">
        <v>1</v>
      </c>
      <c r="CZ665">
        <v>0</v>
      </c>
      <c r="DA665">
        <v>0</v>
      </c>
      <c r="DB665">
        <v>0</v>
      </c>
      <c r="DC665">
        <v>0</v>
      </c>
      <c r="DD665">
        <v>1</v>
      </c>
      <c r="DE665">
        <v>0</v>
      </c>
      <c r="DF665">
        <v>0</v>
      </c>
      <c r="DG665">
        <v>0</v>
      </c>
      <c r="DH665">
        <v>0</v>
      </c>
      <c r="DI665">
        <v>0</v>
      </c>
    </row>
    <row r="666" spans="1:113" x14ac:dyDescent="0.3">
      <c r="A666" t="str">
        <f>"09/28/2021 13:56:02.465"</f>
        <v>09/28/2021 13:56:02.465</v>
      </c>
      <c r="C666" t="str">
        <f t="shared" si="32"/>
        <v>FFDFD3C0</v>
      </c>
      <c r="D666" t="s">
        <v>120</v>
      </c>
      <c r="E666">
        <v>12</v>
      </c>
      <c r="F666">
        <v>1012</v>
      </c>
      <c r="G666" t="s">
        <v>114</v>
      </c>
      <c r="J666" t="s">
        <v>121</v>
      </c>
      <c r="K666">
        <v>0</v>
      </c>
      <c r="L666">
        <v>3</v>
      </c>
      <c r="M666">
        <v>0</v>
      </c>
      <c r="N666">
        <v>2</v>
      </c>
      <c r="O666">
        <v>1</v>
      </c>
      <c r="P666">
        <v>0</v>
      </c>
      <c r="Q666">
        <v>0</v>
      </c>
      <c r="S666" t="str">
        <f>"13:56:02.195"</f>
        <v>13:56:02.195</v>
      </c>
      <c r="T666" t="str">
        <f>"13:56:01.795"</f>
        <v>13:56:01.795</v>
      </c>
      <c r="U666" t="str">
        <f t="shared" si="34"/>
        <v>A92BC1</v>
      </c>
      <c r="V666">
        <v>0</v>
      </c>
      <c r="W666">
        <v>0</v>
      </c>
      <c r="X666">
        <v>2</v>
      </c>
      <c r="Z666">
        <v>0</v>
      </c>
      <c r="AA666">
        <v>9</v>
      </c>
      <c r="AB666">
        <v>3</v>
      </c>
      <c r="AC666">
        <v>0</v>
      </c>
      <c r="AD666">
        <v>10</v>
      </c>
      <c r="AE666">
        <v>0</v>
      </c>
      <c r="AF666">
        <v>3</v>
      </c>
      <c r="AG666">
        <v>2</v>
      </c>
      <c r="AH666">
        <v>0</v>
      </c>
      <c r="AI666" t="s">
        <v>766</v>
      </c>
      <c r="AJ666">
        <v>45.788355000000003</v>
      </c>
      <c r="AK666" t="s">
        <v>767</v>
      </c>
      <c r="AL666">
        <v>-89.282413000000005</v>
      </c>
      <c r="AM666">
        <v>100</v>
      </c>
      <c r="AN666">
        <v>12200</v>
      </c>
      <c r="AO666" t="s">
        <v>118</v>
      </c>
      <c r="AP666">
        <v>146</v>
      </c>
      <c r="AQ666">
        <v>106</v>
      </c>
      <c r="AR666">
        <v>1216</v>
      </c>
      <c r="AZ666">
        <v>1200</v>
      </c>
      <c r="BA666">
        <v>1</v>
      </c>
      <c r="BB666" t="str">
        <f t="shared" si="33"/>
        <v xml:space="preserve">N690LS  </v>
      </c>
      <c r="BC666">
        <v>1</v>
      </c>
      <c r="BE666">
        <v>0</v>
      </c>
      <c r="BF666">
        <v>0</v>
      </c>
      <c r="BG666">
        <v>0</v>
      </c>
      <c r="BH666">
        <v>12600</v>
      </c>
      <c r="BI666">
        <v>1</v>
      </c>
      <c r="BJ666">
        <v>1</v>
      </c>
      <c r="BK666">
        <v>1</v>
      </c>
      <c r="BL666">
        <v>0</v>
      </c>
      <c r="BO666">
        <v>0</v>
      </c>
      <c r="BP666">
        <v>0</v>
      </c>
      <c r="BW666" t="str">
        <f>"13:56:02.202"</f>
        <v>13:56:02.202</v>
      </c>
      <c r="CJ666">
        <v>0</v>
      </c>
      <c r="CK666">
        <v>2</v>
      </c>
      <c r="CL666">
        <v>0</v>
      </c>
      <c r="CM666">
        <v>2</v>
      </c>
      <c r="CN666">
        <v>0</v>
      </c>
      <c r="CO666">
        <v>7</v>
      </c>
      <c r="CP666" t="s">
        <v>119</v>
      </c>
      <c r="CQ666">
        <v>197</v>
      </c>
      <c r="CR666">
        <v>0</v>
      </c>
      <c r="CW666">
        <v>16034145</v>
      </c>
      <c r="CY666">
        <v>1</v>
      </c>
      <c r="CZ666">
        <v>0</v>
      </c>
      <c r="DA666">
        <v>1</v>
      </c>
      <c r="DB666">
        <v>0</v>
      </c>
      <c r="DC666">
        <v>0</v>
      </c>
      <c r="DD666">
        <v>1</v>
      </c>
      <c r="DE666">
        <v>0</v>
      </c>
      <c r="DF666">
        <v>0</v>
      </c>
      <c r="DG666">
        <v>0</v>
      </c>
      <c r="DH666">
        <v>0</v>
      </c>
      <c r="DI666">
        <v>0</v>
      </c>
    </row>
    <row r="667" spans="1:113" x14ac:dyDescent="0.3">
      <c r="A667" t="str">
        <f>"09/28/2021 13:56:03.496"</f>
        <v>09/28/2021 13:56:03.496</v>
      </c>
      <c r="C667" t="str">
        <f t="shared" si="32"/>
        <v>FFDFD3C0</v>
      </c>
      <c r="D667" t="s">
        <v>113</v>
      </c>
      <c r="E667">
        <v>7</v>
      </c>
      <c r="H667">
        <v>170</v>
      </c>
      <c r="I667" t="s">
        <v>114</v>
      </c>
      <c r="J667" t="s">
        <v>115</v>
      </c>
      <c r="K667">
        <v>0</v>
      </c>
      <c r="L667">
        <v>3</v>
      </c>
      <c r="M667">
        <v>0</v>
      </c>
      <c r="N667">
        <v>2</v>
      </c>
      <c r="O667">
        <v>1</v>
      </c>
      <c r="P667">
        <v>0</v>
      </c>
      <c r="Q667">
        <v>0</v>
      </c>
      <c r="S667" t="str">
        <f>"13:56:03.242"</f>
        <v>13:56:03.242</v>
      </c>
      <c r="T667" t="str">
        <f>"13:56:02.742"</f>
        <v>13:56:02.742</v>
      </c>
      <c r="U667" t="str">
        <f t="shared" si="34"/>
        <v>A92BC1</v>
      </c>
      <c r="V667">
        <v>0</v>
      </c>
      <c r="W667">
        <v>0</v>
      </c>
      <c r="X667">
        <v>2</v>
      </c>
      <c r="Z667">
        <v>0</v>
      </c>
      <c r="AA667">
        <v>9</v>
      </c>
      <c r="AB667">
        <v>3</v>
      </c>
      <c r="AC667">
        <v>0</v>
      </c>
      <c r="AD667">
        <v>10</v>
      </c>
      <c r="AE667">
        <v>0</v>
      </c>
      <c r="AF667">
        <v>3</v>
      </c>
      <c r="AG667">
        <v>2</v>
      </c>
      <c r="AH667">
        <v>0</v>
      </c>
      <c r="AI667" t="s">
        <v>768</v>
      </c>
      <c r="AJ667">
        <v>45.788913000000001</v>
      </c>
      <c r="AK667" t="s">
        <v>769</v>
      </c>
      <c r="AL667">
        <v>-89.281296999999995</v>
      </c>
      <c r="AM667">
        <v>100</v>
      </c>
      <c r="AN667">
        <v>12200</v>
      </c>
      <c r="AO667" t="s">
        <v>118</v>
      </c>
      <c r="AP667">
        <v>146</v>
      </c>
      <c r="AQ667">
        <v>106</v>
      </c>
      <c r="AR667">
        <v>1216</v>
      </c>
      <c r="AZ667">
        <v>1200</v>
      </c>
      <c r="BA667">
        <v>1</v>
      </c>
      <c r="BB667" t="str">
        <f t="shared" si="33"/>
        <v xml:space="preserve">N690LS  </v>
      </c>
      <c r="BC667">
        <v>1</v>
      </c>
      <c r="BE667">
        <v>0</v>
      </c>
      <c r="BF667">
        <v>0</v>
      </c>
      <c r="BG667">
        <v>0</v>
      </c>
      <c r="BH667">
        <v>12625</v>
      </c>
      <c r="BI667">
        <v>1</v>
      </c>
      <c r="BJ667">
        <v>1</v>
      </c>
      <c r="BK667">
        <v>1</v>
      </c>
      <c r="BL667">
        <v>0</v>
      </c>
      <c r="BO667">
        <v>0</v>
      </c>
      <c r="BP667">
        <v>0</v>
      </c>
      <c r="BW667" t="str">
        <f>"13:56:03.244"</f>
        <v>13:56:03.244</v>
      </c>
      <c r="CJ667">
        <v>0</v>
      </c>
      <c r="CK667">
        <v>2</v>
      </c>
      <c r="CL667">
        <v>0</v>
      </c>
      <c r="CM667">
        <v>2</v>
      </c>
      <c r="CN667">
        <v>0</v>
      </c>
      <c r="CO667">
        <v>6</v>
      </c>
      <c r="CP667" t="s">
        <v>119</v>
      </c>
      <c r="CQ667">
        <v>209</v>
      </c>
      <c r="CR667">
        <v>3</v>
      </c>
      <c r="CW667">
        <v>7212362</v>
      </c>
      <c r="CY667">
        <v>1</v>
      </c>
      <c r="CZ667">
        <v>0</v>
      </c>
      <c r="DA667">
        <v>0</v>
      </c>
      <c r="DB667">
        <v>0</v>
      </c>
      <c r="DC667">
        <v>0</v>
      </c>
      <c r="DD667">
        <v>1</v>
      </c>
      <c r="DE667">
        <v>0</v>
      </c>
      <c r="DF667">
        <v>0</v>
      </c>
      <c r="DG667">
        <v>0</v>
      </c>
      <c r="DH667">
        <v>0</v>
      </c>
      <c r="DI667">
        <v>0</v>
      </c>
    </row>
    <row r="668" spans="1:113" x14ac:dyDescent="0.3">
      <c r="A668" t="str">
        <f>"09/28/2021 13:56:03.496"</f>
        <v>09/28/2021 13:56:03.496</v>
      </c>
      <c r="C668" t="str">
        <f t="shared" si="32"/>
        <v>FFDFD3C0</v>
      </c>
      <c r="D668" t="s">
        <v>120</v>
      </c>
      <c r="E668">
        <v>12</v>
      </c>
      <c r="F668">
        <v>1012</v>
      </c>
      <c r="G668" t="s">
        <v>114</v>
      </c>
      <c r="J668" t="s">
        <v>121</v>
      </c>
      <c r="K668">
        <v>0</v>
      </c>
      <c r="L668">
        <v>3</v>
      </c>
      <c r="M668">
        <v>0</v>
      </c>
      <c r="N668">
        <v>2</v>
      </c>
      <c r="O668">
        <v>1</v>
      </c>
      <c r="P668">
        <v>0</v>
      </c>
      <c r="Q668">
        <v>0</v>
      </c>
      <c r="S668" t="str">
        <f>"13:56:03.242"</f>
        <v>13:56:03.242</v>
      </c>
      <c r="T668" t="str">
        <f>"13:56:02.742"</f>
        <v>13:56:02.742</v>
      </c>
      <c r="U668" t="str">
        <f t="shared" si="34"/>
        <v>A92BC1</v>
      </c>
      <c r="V668">
        <v>0</v>
      </c>
      <c r="W668">
        <v>0</v>
      </c>
      <c r="X668">
        <v>2</v>
      </c>
      <c r="Z668">
        <v>0</v>
      </c>
      <c r="AA668">
        <v>9</v>
      </c>
      <c r="AB668">
        <v>3</v>
      </c>
      <c r="AC668">
        <v>0</v>
      </c>
      <c r="AD668">
        <v>10</v>
      </c>
      <c r="AE668">
        <v>0</v>
      </c>
      <c r="AF668">
        <v>3</v>
      </c>
      <c r="AG668">
        <v>2</v>
      </c>
      <c r="AH668">
        <v>0</v>
      </c>
      <c r="AI668" t="s">
        <v>768</v>
      </c>
      <c r="AJ668">
        <v>45.788913000000001</v>
      </c>
      <c r="AK668" t="s">
        <v>769</v>
      </c>
      <c r="AL668">
        <v>-89.281296999999995</v>
      </c>
      <c r="AM668">
        <v>100</v>
      </c>
      <c r="AN668">
        <v>12200</v>
      </c>
      <c r="AO668" t="s">
        <v>118</v>
      </c>
      <c r="AP668">
        <v>146</v>
      </c>
      <c r="AQ668">
        <v>106</v>
      </c>
      <c r="AR668">
        <v>1216</v>
      </c>
      <c r="AZ668">
        <v>1200</v>
      </c>
      <c r="BA668">
        <v>1</v>
      </c>
      <c r="BB668" t="str">
        <f t="shared" si="33"/>
        <v xml:space="preserve">N690LS  </v>
      </c>
      <c r="BC668">
        <v>1</v>
      </c>
      <c r="BE668">
        <v>0</v>
      </c>
      <c r="BF668">
        <v>0</v>
      </c>
      <c r="BG668">
        <v>0</v>
      </c>
      <c r="BH668">
        <v>12625</v>
      </c>
      <c r="BI668">
        <v>1</v>
      </c>
      <c r="BJ668">
        <v>1</v>
      </c>
      <c r="BK668">
        <v>1</v>
      </c>
      <c r="BL668">
        <v>0</v>
      </c>
      <c r="BO668">
        <v>0</v>
      </c>
      <c r="BP668">
        <v>0</v>
      </c>
      <c r="BW668" t="str">
        <f>"13:56:03.244"</f>
        <v>13:56:03.244</v>
      </c>
      <c r="CJ668">
        <v>0</v>
      </c>
      <c r="CK668">
        <v>2</v>
      </c>
      <c r="CL668">
        <v>0</v>
      </c>
      <c r="CM668">
        <v>2</v>
      </c>
      <c r="CN668">
        <v>0</v>
      </c>
      <c r="CO668">
        <v>6</v>
      </c>
      <c r="CP668" t="s">
        <v>119</v>
      </c>
      <c r="CQ668">
        <v>209</v>
      </c>
      <c r="CR668">
        <v>3</v>
      </c>
      <c r="CW668">
        <v>7212362</v>
      </c>
      <c r="CY668">
        <v>1</v>
      </c>
      <c r="CZ668">
        <v>0</v>
      </c>
      <c r="DA668">
        <v>1</v>
      </c>
      <c r="DB668">
        <v>0</v>
      </c>
      <c r="DC668">
        <v>0</v>
      </c>
      <c r="DD668">
        <v>1</v>
      </c>
      <c r="DE668">
        <v>0</v>
      </c>
      <c r="DF668">
        <v>0</v>
      </c>
      <c r="DG668">
        <v>0</v>
      </c>
      <c r="DH668">
        <v>0</v>
      </c>
      <c r="DI668">
        <v>0</v>
      </c>
    </row>
    <row r="669" spans="1:113" x14ac:dyDescent="0.3">
      <c r="A669" t="str">
        <f>"09/28/2021 13:56:04.357"</f>
        <v>09/28/2021 13:56:04.357</v>
      </c>
      <c r="C669" t="str">
        <f t="shared" si="32"/>
        <v>FFDFD3C0</v>
      </c>
      <c r="D669" t="s">
        <v>113</v>
      </c>
      <c r="E669">
        <v>7</v>
      </c>
      <c r="H669">
        <v>170</v>
      </c>
      <c r="I669" t="s">
        <v>114</v>
      </c>
      <c r="J669" t="s">
        <v>115</v>
      </c>
      <c r="K669">
        <v>0</v>
      </c>
      <c r="L669">
        <v>3</v>
      </c>
      <c r="M669">
        <v>0</v>
      </c>
      <c r="N669">
        <v>2</v>
      </c>
      <c r="O669">
        <v>1</v>
      </c>
      <c r="P669">
        <v>0</v>
      </c>
      <c r="Q669">
        <v>0</v>
      </c>
      <c r="S669" t="str">
        <f>"13:56:04.117"</f>
        <v>13:56:04.117</v>
      </c>
      <c r="T669" t="str">
        <f>"13:56:03.717"</f>
        <v>13:56:03.717</v>
      </c>
      <c r="U669" t="str">
        <f t="shared" si="34"/>
        <v>A92BC1</v>
      </c>
      <c r="V669">
        <v>0</v>
      </c>
      <c r="W669">
        <v>0</v>
      </c>
      <c r="X669">
        <v>2</v>
      </c>
      <c r="Z669">
        <v>0</v>
      </c>
      <c r="AA669">
        <v>9</v>
      </c>
      <c r="AB669">
        <v>3</v>
      </c>
      <c r="AC669">
        <v>0</v>
      </c>
      <c r="AD669">
        <v>10</v>
      </c>
      <c r="AE669">
        <v>0</v>
      </c>
      <c r="AF669">
        <v>3</v>
      </c>
      <c r="AG669">
        <v>2</v>
      </c>
      <c r="AH669">
        <v>0</v>
      </c>
      <c r="AI669" t="s">
        <v>770</v>
      </c>
      <c r="AJ669">
        <v>45.789299</v>
      </c>
      <c r="AK669" t="s">
        <v>771</v>
      </c>
      <c r="AL669">
        <v>-89.280524</v>
      </c>
      <c r="AM669">
        <v>100</v>
      </c>
      <c r="AN669">
        <v>12300</v>
      </c>
      <c r="AO669" t="s">
        <v>118</v>
      </c>
      <c r="AP669">
        <v>147</v>
      </c>
      <c r="AQ669">
        <v>106</v>
      </c>
      <c r="AR669">
        <v>1216</v>
      </c>
      <c r="AZ669">
        <v>1200</v>
      </c>
      <c r="BA669">
        <v>1</v>
      </c>
      <c r="BB669" t="str">
        <f t="shared" si="33"/>
        <v xml:space="preserve">N690LS  </v>
      </c>
      <c r="BC669">
        <v>1</v>
      </c>
      <c r="BE669">
        <v>0</v>
      </c>
      <c r="BF669">
        <v>0</v>
      </c>
      <c r="BG669">
        <v>0</v>
      </c>
      <c r="BH669">
        <v>12650</v>
      </c>
      <c r="BI669">
        <v>1</v>
      </c>
      <c r="BJ669">
        <v>1</v>
      </c>
      <c r="BK669">
        <v>1</v>
      </c>
      <c r="BL669">
        <v>0</v>
      </c>
      <c r="BO669">
        <v>0</v>
      </c>
      <c r="BP669">
        <v>0</v>
      </c>
      <c r="BW669" t="str">
        <f>"13:56:04.121"</f>
        <v>13:56:04.121</v>
      </c>
      <c r="CJ669">
        <v>0</v>
      </c>
      <c r="CK669">
        <v>2</v>
      </c>
      <c r="CL669">
        <v>0</v>
      </c>
      <c r="CM669">
        <v>2</v>
      </c>
      <c r="CN669">
        <v>0</v>
      </c>
      <c r="CO669">
        <v>6</v>
      </c>
      <c r="CP669" t="s">
        <v>119</v>
      </c>
      <c r="CQ669">
        <v>209</v>
      </c>
      <c r="CR669">
        <v>3</v>
      </c>
      <c r="CW669">
        <v>7212663</v>
      </c>
      <c r="CY669">
        <v>1</v>
      </c>
      <c r="CZ669">
        <v>0</v>
      </c>
      <c r="DA669">
        <v>0</v>
      </c>
      <c r="DB669">
        <v>0</v>
      </c>
      <c r="DC669">
        <v>0</v>
      </c>
      <c r="DD669">
        <v>1</v>
      </c>
      <c r="DE669">
        <v>0</v>
      </c>
      <c r="DF669">
        <v>0</v>
      </c>
      <c r="DG669">
        <v>0</v>
      </c>
      <c r="DH669">
        <v>0</v>
      </c>
      <c r="DI669">
        <v>0</v>
      </c>
    </row>
    <row r="670" spans="1:113" x14ac:dyDescent="0.3">
      <c r="A670" t="str">
        <f>"09/28/2021 13:56:04.357"</f>
        <v>09/28/2021 13:56:04.357</v>
      </c>
      <c r="C670" t="str">
        <f t="shared" si="32"/>
        <v>FFDFD3C0</v>
      </c>
      <c r="D670" t="s">
        <v>120</v>
      </c>
      <c r="E670">
        <v>12</v>
      </c>
      <c r="F670">
        <v>1012</v>
      </c>
      <c r="G670" t="s">
        <v>114</v>
      </c>
      <c r="J670" t="s">
        <v>121</v>
      </c>
      <c r="K670">
        <v>0</v>
      </c>
      <c r="L670">
        <v>3</v>
      </c>
      <c r="M670">
        <v>0</v>
      </c>
      <c r="N670">
        <v>2</v>
      </c>
      <c r="O670">
        <v>1</v>
      </c>
      <c r="P670">
        <v>0</v>
      </c>
      <c r="Q670">
        <v>0</v>
      </c>
      <c r="S670" t="str">
        <f>"13:56:04.117"</f>
        <v>13:56:04.117</v>
      </c>
      <c r="T670" t="str">
        <f>"13:56:03.717"</f>
        <v>13:56:03.717</v>
      </c>
      <c r="U670" t="str">
        <f t="shared" si="34"/>
        <v>A92BC1</v>
      </c>
      <c r="V670">
        <v>0</v>
      </c>
      <c r="W670">
        <v>0</v>
      </c>
      <c r="X670">
        <v>2</v>
      </c>
      <c r="Z670">
        <v>0</v>
      </c>
      <c r="AA670">
        <v>9</v>
      </c>
      <c r="AB670">
        <v>3</v>
      </c>
      <c r="AC670">
        <v>0</v>
      </c>
      <c r="AD670">
        <v>10</v>
      </c>
      <c r="AE670">
        <v>0</v>
      </c>
      <c r="AF670">
        <v>3</v>
      </c>
      <c r="AG670">
        <v>2</v>
      </c>
      <c r="AH670">
        <v>0</v>
      </c>
      <c r="AI670" t="s">
        <v>770</v>
      </c>
      <c r="AJ670">
        <v>45.789299</v>
      </c>
      <c r="AK670" t="s">
        <v>771</v>
      </c>
      <c r="AL670">
        <v>-89.280524</v>
      </c>
      <c r="AM670">
        <v>100</v>
      </c>
      <c r="AN670">
        <v>12300</v>
      </c>
      <c r="AO670" t="s">
        <v>118</v>
      </c>
      <c r="AP670">
        <v>147</v>
      </c>
      <c r="AQ670">
        <v>106</v>
      </c>
      <c r="AR670">
        <v>1216</v>
      </c>
      <c r="AZ670">
        <v>1200</v>
      </c>
      <c r="BA670">
        <v>1</v>
      </c>
      <c r="BB670" t="str">
        <f t="shared" si="33"/>
        <v xml:space="preserve">N690LS  </v>
      </c>
      <c r="BC670">
        <v>1</v>
      </c>
      <c r="BE670">
        <v>0</v>
      </c>
      <c r="BF670">
        <v>0</v>
      </c>
      <c r="BG670">
        <v>0</v>
      </c>
      <c r="BH670">
        <v>12650</v>
      </c>
      <c r="BI670">
        <v>1</v>
      </c>
      <c r="BJ670">
        <v>1</v>
      </c>
      <c r="BK670">
        <v>1</v>
      </c>
      <c r="BL670">
        <v>0</v>
      </c>
      <c r="BO670">
        <v>0</v>
      </c>
      <c r="BP670">
        <v>0</v>
      </c>
      <c r="BW670" t="str">
        <f>"13:56:04.121"</f>
        <v>13:56:04.121</v>
      </c>
      <c r="CJ670">
        <v>0</v>
      </c>
      <c r="CK670">
        <v>2</v>
      </c>
      <c r="CL670">
        <v>0</v>
      </c>
      <c r="CM670">
        <v>2</v>
      </c>
      <c r="CN670">
        <v>0</v>
      </c>
      <c r="CO670">
        <v>6</v>
      </c>
      <c r="CP670" t="s">
        <v>119</v>
      </c>
      <c r="CQ670">
        <v>209</v>
      </c>
      <c r="CR670">
        <v>3</v>
      </c>
      <c r="CW670">
        <v>7212663</v>
      </c>
      <c r="CY670">
        <v>1</v>
      </c>
      <c r="CZ670">
        <v>0</v>
      </c>
      <c r="DA670">
        <v>1</v>
      </c>
      <c r="DB670">
        <v>0</v>
      </c>
      <c r="DC670">
        <v>0</v>
      </c>
      <c r="DD670">
        <v>1</v>
      </c>
      <c r="DE670">
        <v>0</v>
      </c>
      <c r="DF670">
        <v>0</v>
      </c>
      <c r="DG670">
        <v>0</v>
      </c>
      <c r="DH670">
        <v>0</v>
      </c>
      <c r="DI670">
        <v>0</v>
      </c>
    </row>
    <row r="671" spans="1:113" x14ac:dyDescent="0.3">
      <c r="A671" t="str">
        <f>"09/28/2021 13:56:05.263"</f>
        <v>09/28/2021 13:56:05.263</v>
      </c>
      <c r="C671" t="str">
        <f t="shared" si="32"/>
        <v>FFDFD3C0</v>
      </c>
      <c r="D671" t="s">
        <v>113</v>
      </c>
      <c r="E671">
        <v>7</v>
      </c>
      <c r="H671">
        <v>170</v>
      </c>
      <c r="I671" t="s">
        <v>114</v>
      </c>
      <c r="J671" t="s">
        <v>115</v>
      </c>
      <c r="K671">
        <v>0</v>
      </c>
      <c r="L671">
        <v>3</v>
      </c>
      <c r="M671">
        <v>0</v>
      </c>
      <c r="N671">
        <v>2</v>
      </c>
      <c r="O671">
        <v>1</v>
      </c>
      <c r="P671">
        <v>0</v>
      </c>
      <c r="Q671">
        <v>0</v>
      </c>
      <c r="S671" t="str">
        <f>"13:56:05.070"</f>
        <v>13:56:05.070</v>
      </c>
      <c r="T671" t="str">
        <f>"13:56:04.570"</f>
        <v>13:56:04.570</v>
      </c>
      <c r="U671" t="str">
        <f t="shared" si="34"/>
        <v>A92BC1</v>
      </c>
      <c r="V671">
        <v>0</v>
      </c>
      <c r="W671">
        <v>0</v>
      </c>
      <c r="X671">
        <v>2</v>
      </c>
      <c r="Z671">
        <v>0</v>
      </c>
      <c r="AA671">
        <v>9</v>
      </c>
      <c r="AB671">
        <v>3</v>
      </c>
      <c r="AC671">
        <v>0</v>
      </c>
      <c r="AD671">
        <v>10</v>
      </c>
      <c r="AE671">
        <v>0</v>
      </c>
      <c r="AF671">
        <v>3</v>
      </c>
      <c r="AG671">
        <v>2</v>
      </c>
      <c r="AH671">
        <v>0</v>
      </c>
      <c r="AI671" t="s">
        <v>772</v>
      </c>
      <c r="AJ671">
        <v>45.789814</v>
      </c>
      <c r="AK671" t="s">
        <v>773</v>
      </c>
      <c r="AL671">
        <v>-89.279579999999996</v>
      </c>
      <c r="AM671">
        <v>100</v>
      </c>
      <c r="AN671">
        <v>12300</v>
      </c>
      <c r="AO671" t="s">
        <v>118</v>
      </c>
      <c r="AP671">
        <v>147</v>
      </c>
      <c r="AQ671">
        <v>107</v>
      </c>
      <c r="AR671">
        <v>1216</v>
      </c>
      <c r="AZ671">
        <v>1200</v>
      </c>
      <c r="BA671">
        <v>1</v>
      </c>
      <c r="BB671" t="str">
        <f t="shared" si="33"/>
        <v xml:space="preserve">N690LS  </v>
      </c>
      <c r="BC671">
        <v>1</v>
      </c>
      <c r="BE671">
        <v>0</v>
      </c>
      <c r="BF671">
        <v>0</v>
      </c>
      <c r="BG671">
        <v>0</v>
      </c>
      <c r="BH671">
        <v>12650</v>
      </c>
      <c r="BI671">
        <v>1</v>
      </c>
      <c r="BJ671">
        <v>1</v>
      </c>
      <c r="BK671">
        <v>1</v>
      </c>
      <c r="BL671">
        <v>0</v>
      </c>
      <c r="BO671">
        <v>0</v>
      </c>
      <c r="BP671">
        <v>0</v>
      </c>
      <c r="BW671" t="str">
        <f>"13:56:05.071"</f>
        <v>13:56:05.071</v>
      </c>
      <c r="CJ671">
        <v>0</v>
      </c>
      <c r="CK671">
        <v>2</v>
      </c>
      <c r="CL671">
        <v>0</v>
      </c>
      <c r="CM671">
        <v>2</v>
      </c>
      <c r="CN671">
        <v>0</v>
      </c>
      <c r="CO671">
        <v>7</v>
      </c>
      <c r="CP671" t="s">
        <v>119</v>
      </c>
      <c r="CQ671">
        <v>197</v>
      </c>
      <c r="CR671">
        <v>0</v>
      </c>
      <c r="CW671">
        <v>16034936</v>
      </c>
      <c r="CY671">
        <v>1</v>
      </c>
      <c r="CZ671">
        <v>0</v>
      </c>
      <c r="DA671">
        <v>0</v>
      </c>
      <c r="DB671">
        <v>0</v>
      </c>
      <c r="DC671">
        <v>0</v>
      </c>
      <c r="DD671">
        <v>1</v>
      </c>
      <c r="DE671">
        <v>0</v>
      </c>
      <c r="DF671">
        <v>0</v>
      </c>
      <c r="DG671">
        <v>0</v>
      </c>
      <c r="DH671">
        <v>0</v>
      </c>
      <c r="DI671">
        <v>0</v>
      </c>
    </row>
    <row r="672" spans="1:113" x14ac:dyDescent="0.3">
      <c r="A672" t="str">
        <f>"09/28/2021 13:56:05.279"</f>
        <v>09/28/2021 13:56:05.279</v>
      </c>
      <c r="C672" t="str">
        <f t="shared" si="32"/>
        <v>FFDFD3C0</v>
      </c>
      <c r="D672" t="s">
        <v>120</v>
      </c>
      <c r="E672">
        <v>12</v>
      </c>
      <c r="F672">
        <v>1012</v>
      </c>
      <c r="G672" t="s">
        <v>114</v>
      </c>
      <c r="J672" t="s">
        <v>121</v>
      </c>
      <c r="K672">
        <v>0</v>
      </c>
      <c r="L672">
        <v>3</v>
      </c>
      <c r="M672">
        <v>0</v>
      </c>
      <c r="N672">
        <v>2</v>
      </c>
      <c r="O672">
        <v>1</v>
      </c>
      <c r="P672">
        <v>0</v>
      </c>
      <c r="Q672">
        <v>0</v>
      </c>
      <c r="S672" t="str">
        <f>"13:56:05.070"</f>
        <v>13:56:05.070</v>
      </c>
      <c r="U672" t="str">
        <f t="shared" si="34"/>
        <v>A92BC1</v>
      </c>
      <c r="V672">
        <v>0</v>
      </c>
      <c r="W672">
        <v>0</v>
      </c>
      <c r="X672">
        <v>2</v>
      </c>
      <c r="Z672">
        <v>0</v>
      </c>
      <c r="AA672">
        <v>9</v>
      </c>
      <c r="AB672">
        <v>3</v>
      </c>
      <c r="AC672">
        <v>0</v>
      </c>
      <c r="AD672">
        <v>10</v>
      </c>
      <c r="AE672">
        <v>0</v>
      </c>
      <c r="AF672">
        <v>3</v>
      </c>
      <c r="AG672">
        <v>2</v>
      </c>
      <c r="AH672">
        <v>0</v>
      </c>
      <c r="AI672" t="s">
        <v>772</v>
      </c>
      <c r="AJ672">
        <v>45.789814</v>
      </c>
      <c r="AK672" t="s">
        <v>773</v>
      </c>
      <c r="AL672">
        <v>-89.279579999999996</v>
      </c>
      <c r="AM672">
        <v>100</v>
      </c>
      <c r="AN672">
        <v>12300</v>
      </c>
      <c r="AO672" t="s">
        <v>118</v>
      </c>
      <c r="AP672">
        <v>148</v>
      </c>
      <c r="AQ672">
        <v>107</v>
      </c>
      <c r="AR672">
        <v>1216</v>
      </c>
      <c r="AZ672">
        <v>1200</v>
      </c>
      <c r="BA672">
        <v>1</v>
      </c>
      <c r="BB672" t="str">
        <f t="shared" si="33"/>
        <v xml:space="preserve">N690LS  </v>
      </c>
      <c r="BC672">
        <v>1</v>
      </c>
      <c r="BE672">
        <v>0</v>
      </c>
      <c r="BF672">
        <v>0</v>
      </c>
      <c r="BG672">
        <v>0</v>
      </c>
      <c r="BH672">
        <v>12675</v>
      </c>
      <c r="BI672">
        <v>1</v>
      </c>
      <c r="BJ672">
        <v>1</v>
      </c>
      <c r="BK672">
        <v>1</v>
      </c>
      <c r="BL672">
        <v>0</v>
      </c>
      <c r="BO672">
        <v>0</v>
      </c>
      <c r="BP672">
        <v>0</v>
      </c>
      <c r="BW672" t="str">
        <f>"13:56:05.072"</f>
        <v>13:56:05.072</v>
      </c>
      <c r="CJ672">
        <v>0</v>
      </c>
      <c r="CK672">
        <v>2</v>
      </c>
      <c r="CL672">
        <v>0</v>
      </c>
      <c r="CM672">
        <v>2</v>
      </c>
      <c r="CN672">
        <v>0</v>
      </c>
      <c r="CO672">
        <v>2</v>
      </c>
      <c r="CP672" t="s">
        <v>119</v>
      </c>
      <c r="CQ672">
        <v>550</v>
      </c>
      <c r="CR672">
        <v>1</v>
      </c>
      <c r="CW672">
        <v>5544422</v>
      </c>
      <c r="CY672">
        <v>1</v>
      </c>
      <c r="CZ672">
        <v>0</v>
      </c>
      <c r="DA672">
        <v>1</v>
      </c>
      <c r="DB672">
        <v>0</v>
      </c>
      <c r="DC672">
        <v>0</v>
      </c>
      <c r="DD672">
        <v>1</v>
      </c>
      <c r="DE672">
        <v>0</v>
      </c>
      <c r="DF672">
        <v>0</v>
      </c>
      <c r="DG672">
        <v>0</v>
      </c>
      <c r="DH672">
        <v>0</v>
      </c>
      <c r="DI672">
        <v>0</v>
      </c>
    </row>
    <row r="673" spans="1:113" x14ac:dyDescent="0.3">
      <c r="A673" t="str">
        <f>"09/28/2021 13:56:06.201"</f>
        <v>09/28/2021 13:56:06.201</v>
      </c>
      <c r="C673" t="str">
        <f t="shared" si="32"/>
        <v>FFDFD3C0</v>
      </c>
      <c r="D673" t="s">
        <v>113</v>
      </c>
      <c r="E673">
        <v>7</v>
      </c>
      <c r="H673">
        <v>170</v>
      </c>
      <c r="I673" t="s">
        <v>114</v>
      </c>
      <c r="J673" t="s">
        <v>115</v>
      </c>
      <c r="K673">
        <v>0</v>
      </c>
      <c r="L673">
        <v>3</v>
      </c>
      <c r="M673">
        <v>0</v>
      </c>
      <c r="N673">
        <v>2</v>
      </c>
      <c r="O673">
        <v>1</v>
      </c>
      <c r="P673">
        <v>0</v>
      </c>
      <c r="Q673">
        <v>0</v>
      </c>
      <c r="S673" t="str">
        <f>"13:56:05.945"</f>
        <v>13:56:05.945</v>
      </c>
      <c r="T673" t="str">
        <f>"13:56:05.545"</f>
        <v>13:56:05.545</v>
      </c>
      <c r="U673" t="str">
        <f t="shared" si="34"/>
        <v>A92BC1</v>
      </c>
      <c r="V673">
        <v>0</v>
      </c>
      <c r="W673">
        <v>0</v>
      </c>
      <c r="X673">
        <v>2</v>
      </c>
      <c r="Z673">
        <v>0</v>
      </c>
      <c r="AA673">
        <v>9</v>
      </c>
      <c r="AB673">
        <v>3</v>
      </c>
      <c r="AC673">
        <v>0</v>
      </c>
      <c r="AD673">
        <v>10</v>
      </c>
      <c r="AE673">
        <v>0</v>
      </c>
      <c r="AF673">
        <v>3</v>
      </c>
      <c r="AG673">
        <v>2</v>
      </c>
      <c r="AH673">
        <v>0</v>
      </c>
      <c r="AI673" t="s">
        <v>774</v>
      </c>
      <c r="AJ673">
        <v>45.790242999999997</v>
      </c>
      <c r="AK673" t="s">
        <v>775</v>
      </c>
      <c r="AL673">
        <v>-89.278656999999995</v>
      </c>
      <c r="AM673">
        <v>100</v>
      </c>
      <c r="AN673">
        <v>12300</v>
      </c>
      <c r="AO673" t="s">
        <v>118</v>
      </c>
      <c r="AP673">
        <v>148</v>
      </c>
      <c r="AQ673">
        <v>107</v>
      </c>
      <c r="AR673">
        <v>1280</v>
      </c>
      <c r="AZ673">
        <v>1200</v>
      </c>
      <c r="BA673">
        <v>1</v>
      </c>
      <c r="BB673" t="str">
        <f t="shared" si="33"/>
        <v xml:space="preserve">N690LS  </v>
      </c>
      <c r="BC673">
        <v>1</v>
      </c>
      <c r="BE673">
        <v>0</v>
      </c>
      <c r="BF673">
        <v>0</v>
      </c>
      <c r="BG673">
        <v>0</v>
      </c>
      <c r="BH673">
        <v>12675</v>
      </c>
      <c r="BI673">
        <v>1</v>
      </c>
      <c r="BJ673">
        <v>1</v>
      </c>
      <c r="BK673">
        <v>1</v>
      </c>
      <c r="BL673">
        <v>0</v>
      </c>
      <c r="BO673">
        <v>0</v>
      </c>
      <c r="BP673">
        <v>0</v>
      </c>
      <c r="BW673" t="str">
        <f>"13:56:05.951"</f>
        <v>13:56:05.951</v>
      </c>
      <c r="CJ673">
        <v>0</v>
      </c>
      <c r="CK673">
        <v>2</v>
      </c>
      <c r="CL673">
        <v>0</v>
      </c>
      <c r="CM673">
        <v>2</v>
      </c>
      <c r="CN673">
        <v>0</v>
      </c>
      <c r="CO673">
        <v>6</v>
      </c>
      <c r="CP673" t="s">
        <v>119</v>
      </c>
      <c r="CQ673">
        <v>209</v>
      </c>
      <c r="CR673">
        <v>3</v>
      </c>
      <c r="CW673">
        <v>7213267</v>
      </c>
      <c r="CY673">
        <v>1</v>
      </c>
      <c r="CZ673">
        <v>0</v>
      </c>
      <c r="DA673">
        <v>0</v>
      </c>
      <c r="DB673">
        <v>0</v>
      </c>
      <c r="DC673">
        <v>0</v>
      </c>
      <c r="DD673">
        <v>1</v>
      </c>
      <c r="DE673">
        <v>0</v>
      </c>
      <c r="DF673">
        <v>0</v>
      </c>
      <c r="DG673">
        <v>0</v>
      </c>
      <c r="DH673">
        <v>0</v>
      </c>
      <c r="DI673">
        <v>0</v>
      </c>
    </row>
    <row r="674" spans="1:113" x14ac:dyDescent="0.3">
      <c r="A674" t="str">
        <f>"09/28/2021 13:56:06.201"</f>
        <v>09/28/2021 13:56:06.201</v>
      </c>
      <c r="C674" t="str">
        <f t="shared" si="32"/>
        <v>FFDFD3C0</v>
      </c>
      <c r="D674" t="s">
        <v>120</v>
      </c>
      <c r="E674">
        <v>12</v>
      </c>
      <c r="F674">
        <v>1012</v>
      </c>
      <c r="G674" t="s">
        <v>114</v>
      </c>
      <c r="J674" t="s">
        <v>121</v>
      </c>
      <c r="K674">
        <v>0</v>
      </c>
      <c r="L674">
        <v>3</v>
      </c>
      <c r="M674">
        <v>0</v>
      </c>
      <c r="N674">
        <v>2</v>
      </c>
      <c r="O674">
        <v>1</v>
      </c>
      <c r="P674">
        <v>0</v>
      </c>
      <c r="Q674">
        <v>0</v>
      </c>
      <c r="S674" t="str">
        <f>"13:56:05.945"</f>
        <v>13:56:05.945</v>
      </c>
      <c r="T674" t="str">
        <f>"13:56:05.545"</f>
        <v>13:56:05.545</v>
      </c>
      <c r="U674" t="str">
        <f t="shared" si="34"/>
        <v>A92BC1</v>
      </c>
      <c r="V674">
        <v>0</v>
      </c>
      <c r="W674">
        <v>0</v>
      </c>
      <c r="X674">
        <v>2</v>
      </c>
      <c r="Z674">
        <v>0</v>
      </c>
      <c r="AA674">
        <v>9</v>
      </c>
      <c r="AB674">
        <v>3</v>
      </c>
      <c r="AC674">
        <v>0</v>
      </c>
      <c r="AD674">
        <v>10</v>
      </c>
      <c r="AE674">
        <v>0</v>
      </c>
      <c r="AF674">
        <v>3</v>
      </c>
      <c r="AG674">
        <v>2</v>
      </c>
      <c r="AH674">
        <v>0</v>
      </c>
      <c r="AI674" t="s">
        <v>774</v>
      </c>
      <c r="AJ674">
        <v>45.790242999999997</v>
      </c>
      <c r="AK674" t="s">
        <v>775</v>
      </c>
      <c r="AL674">
        <v>-89.278656999999995</v>
      </c>
      <c r="AM674">
        <v>100</v>
      </c>
      <c r="AN674">
        <v>12300</v>
      </c>
      <c r="AO674" t="s">
        <v>118</v>
      </c>
      <c r="AP674">
        <v>148</v>
      </c>
      <c r="AQ674">
        <v>107</v>
      </c>
      <c r="AR674">
        <v>1280</v>
      </c>
      <c r="AZ674">
        <v>1200</v>
      </c>
      <c r="BA674">
        <v>1</v>
      </c>
      <c r="BB674" t="str">
        <f t="shared" si="33"/>
        <v xml:space="preserve">N690LS  </v>
      </c>
      <c r="BC674">
        <v>1</v>
      </c>
      <c r="BE674">
        <v>0</v>
      </c>
      <c r="BF674">
        <v>0</v>
      </c>
      <c r="BG674">
        <v>0</v>
      </c>
      <c r="BH674">
        <v>12675</v>
      </c>
      <c r="BI674">
        <v>1</v>
      </c>
      <c r="BJ674">
        <v>1</v>
      </c>
      <c r="BK674">
        <v>1</v>
      </c>
      <c r="BL674">
        <v>0</v>
      </c>
      <c r="BO674">
        <v>0</v>
      </c>
      <c r="BP674">
        <v>0</v>
      </c>
      <c r="BW674" t="str">
        <f>"13:56:05.951"</f>
        <v>13:56:05.951</v>
      </c>
      <c r="CJ674">
        <v>0</v>
      </c>
      <c r="CK674">
        <v>2</v>
      </c>
      <c r="CL674">
        <v>0</v>
      </c>
      <c r="CM674">
        <v>2</v>
      </c>
      <c r="CN674">
        <v>0</v>
      </c>
      <c r="CO674">
        <v>6</v>
      </c>
      <c r="CP674" t="s">
        <v>119</v>
      </c>
      <c r="CQ674">
        <v>209</v>
      </c>
      <c r="CR674">
        <v>3</v>
      </c>
      <c r="CW674">
        <v>7213267</v>
      </c>
      <c r="CY674">
        <v>1</v>
      </c>
      <c r="CZ674">
        <v>0</v>
      </c>
      <c r="DA674">
        <v>1</v>
      </c>
      <c r="DB674">
        <v>0</v>
      </c>
      <c r="DC674">
        <v>0</v>
      </c>
      <c r="DD674">
        <v>1</v>
      </c>
      <c r="DE674">
        <v>0</v>
      </c>
      <c r="DF674">
        <v>0</v>
      </c>
      <c r="DG674">
        <v>0</v>
      </c>
      <c r="DH674">
        <v>0</v>
      </c>
      <c r="DI674">
        <v>0</v>
      </c>
    </row>
    <row r="675" spans="1:113" x14ac:dyDescent="0.3">
      <c r="A675" t="str">
        <f>"09/28/2021 13:56:07.229"</f>
        <v>09/28/2021 13:56:07.229</v>
      </c>
      <c r="C675" t="str">
        <f t="shared" si="32"/>
        <v>FFDFD3C0</v>
      </c>
      <c r="D675" t="s">
        <v>113</v>
      </c>
      <c r="E675">
        <v>7</v>
      </c>
      <c r="H675">
        <v>170</v>
      </c>
      <c r="I675" t="s">
        <v>114</v>
      </c>
      <c r="J675" t="s">
        <v>115</v>
      </c>
      <c r="K675">
        <v>0</v>
      </c>
      <c r="L675">
        <v>3</v>
      </c>
      <c r="M675">
        <v>0</v>
      </c>
      <c r="N675">
        <v>2</v>
      </c>
      <c r="O675">
        <v>1</v>
      </c>
      <c r="P675">
        <v>0</v>
      </c>
      <c r="Q675">
        <v>0</v>
      </c>
      <c r="S675" t="str">
        <f>"13:56:07.000"</f>
        <v>13:56:07.000</v>
      </c>
      <c r="T675" t="str">
        <f>"13:56:06.600"</f>
        <v>13:56:06.600</v>
      </c>
      <c r="U675" t="str">
        <f t="shared" si="34"/>
        <v>A92BC1</v>
      </c>
      <c r="V675">
        <v>0</v>
      </c>
      <c r="W675">
        <v>0</v>
      </c>
      <c r="X675">
        <v>2</v>
      </c>
      <c r="Z675">
        <v>0</v>
      </c>
      <c r="AA675">
        <v>9</v>
      </c>
      <c r="AB675">
        <v>3</v>
      </c>
      <c r="AC675">
        <v>0</v>
      </c>
      <c r="AD675">
        <v>10</v>
      </c>
      <c r="AE675">
        <v>0</v>
      </c>
      <c r="AF675">
        <v>3</v>
      </c>
      <c r="AG675">
        <v>2</v>
      </c>
      <c r="AH675">
        <v>0</v>
      </c>
      <c r="AI675" t="s">
        <v>776</v>
      </c>
      <c r="AJ675">
        <v>45.790737</v>
      </c>
      <c r="AK675" t="s">
        <v>777</v>
      </c>
      <c r="AL675">
        <v>-89.277713000000006</v>
      </c>
      <c r="AM675">
        <v>100</v>
      </c>
      <c r="AN675">
        <v>12300</v>
      </c>
      <c r="AO675" t="s">
        <v>118</v>
      </c>
      <c r="AP675">
        <v>148</v>
      </c>
      <c r="AQ675">
        <v>107</v>
      </c>
      <c r="AR675">
        <v>1280</v>
      </c>
      <c r="AZ675">
        <v>1200</v>
      </c>
      <c r="BA675">
        <v>1</v>
      </c>
      <c r="BB675" t="str">
        <f t="shared" si="33"/>
        <v xml:space="preserve">N690LS  </v>
      </c>
      <c r="BC675">
        <v>1</v>
      </c>
      <c r="BE675">
        <v>0</v>
      </c>
      <c r="BF675">
        <v>0</v>
      </c>
      <c r="BG675">
        <v>0</v>
      </c>
      <c r="BH675">
        <v>12700</v>
      </c>
      <c r="BI675">
        <v>1</v>
      </c>
      <c r="BJ675">
        <v>1</v>
      </c>
      <c r="BK675">
        <v>1</v>
      </c>
      <c r="BL675">
        <v>0</v>
      </c>
      <c r="BO675">
        <v>0</v>
      </c>
      <c r="BP675">
        <v>0</v>
      </c>
      <c r="BW675" t="str">
        <f>"13:56:07.001"</f>
        <v>13:56:07.001</v>
      </c>
      <c r="CJ675">
        <v>0</v>
      </c>
      <c r="CK675">
        <v>2</v>
      </c>
      <c r="CL675">
        <v>0</v>
      </c>
      <c r="CM675">
        <v>2</v>
      </c>
      <c r="CN675">
        <v>0</v>
      </c>
      <c r="CO675">
        <v>6</v>
      </c>
      <c r="CP675" t="s">
        <v>119</v>
      </c>
      <c r="CQ675">
        <v>209</v>
      </c>
      <c r="CR675">
        <v>3</v>
      </c>
      <c r="CW675">
        <v>7213607</v>
      </c>
      <c r="CY675">
        <v>1</v>
      </c>
      <c r="CZ675">
        <v>0</v>
      </c>
      <c r="DA675">
        <v>0</v>
      </c>
      <c r="DB675">
        <v>0</v>
      </c>
      <c r="DC675">
        <v>0</v>
      </c>
      <c r="DD675">
        <v>1</v>
      </c>
      <c r="DE675">
        <v>0</v>
      </c>
      <c r="DF675">
        <v>0</v>
      </c>
      <c r="DG675">
        <v>0</v>
      </c>
      <c r="DH675">
        <v>0</v>
      </c>
      <c r="DI675">
        <v>0</v>
      </c>
    </row>
    <row r="676" spans="1:113" x14ac:dyDescent="0.3">
      <c r="A676" t="str">
        <f>"09/28/2021 13:56:07.229"</f>
        <v>09/28/2021 13:56:07.229</v>
      </c>
      <c r="C676" t="str">
        <f t="shared" si="32"/>
        <v>FFDFD3C0</v>
      </c>
      <c r="D676" t="s">
        <v>120</v>
      </c>
      <c r="E676">
        <v>12</v>
      </c>
      <c r="F676">
        <v>1012</v>
      </c>
      <c r="G676" t="s">
        <v>114</v>
      </c>
      <c r="J676" t="s">
        <v>121</v>
      </c>
      <c r="K676">
        <v>0</v>
      </c>
      <c r="L676">
        <v>3</v>
      </c>
      <c r="M676">
        <v>0</v>
      </c>
      <c r="N676">
        <v>2</v>
      </c>
      <c r="O676">
        <v>1</v>
      </c>
      <c r="P676">
        <v>0</v>
      </c>
      <c r="Q676">
        <v>0</v>
      </c>
      <c r="S676" t="str">
        <f>"13:56:07.000"</f>
        <v>13:56:07.000</v>
      </c>
      <c r="U676" t="str">
        <f t="shared" si="34"/>
        <v>A92BC1</v>
      </c>
      <c r="V676">
        <v>0</v>
      </c>
      <c r="W676">
        <v>0</v>
      </c>
      <c r="X676">
        <v>2</v>
      </c>
      <c r="Z676">
        <v>0</v>
      </c>
      <c r="AA676">
        <v>9</v>
      </c>
      <c r="AB676">
        <v>3</v>
      </c>
      <c r="AC676">
        <v>0</v>
      </c>
      <c r="AD676">
        <v>10</v>
      </c>
      <c r="AE676">
        <v>0</v>
      </c>
      <c r="AF676">
        <v>3</v>
      </c>
      <c r="AG676">
        <v>2</v>
      </c>
      <c r="AH676">
        <v>0</v>
      </c>
      <c r="AI676" t="s">
        <v>776</v>
      </c>
      <c r="AJ676">
        <v>45.790737</v>
      </c>
      <c r="AK676" t="s">
        <v>777</v>
      </c>
      <c r="AL676">
        <v>-89.277713000000006</v>
      </c>
      <c r="AM676">
        <v>100</v>
      </c>
      <c r="AN676">
        <v>12300</v>
      </c>
      <c r="AO676" t="s">
        <v>118</v>
      </c>
      <c r="AP676">
        <v>148</v>
      </c>
      <c r="AQ676">
        <v>107</v>
      </c>
      <c r="AR676">
        <v>1280</v>
      </c>
      <c r="AZ676">
        <v>1200</v>
      </c>
      <c r="BA676">
        <v>1</v>
      </c>
      <c r="BB676" t="str">
        <f t="shared" si="33"/>
        <v xml:space="preserve">N690LS  </v>
      </c>
      <c r="BC676">
        <v>1</v>
      </c>
      <c r="BE676">
        <v>0</v>
      </c>
      <c r="BF676">
        <v>0</v>
      </c>
      <c r="BG676">
        <v>0</v>
      </c>
      <c r="BH676">
        <v>12700</v>
      </c>
      <c r="BI676">
        <v>1</v>
      </c>
      <c r="BJ676">
        <v>1</v>
      </c>
      <c r="BK676">
        <v>1</v>
      </c>
      <c r="BL676">
        <v>0</v>
      </c>
      <c r="BO676">
        <v>0</v>
      </c>
      <c r="BP676">
        <v>0</v>
      </c>
      <c r="BW676" t="str">
        <f>"13:56:07.002"</f>
        <v>13:56:07.002</v>
      </c>
      <c r="CJ676">
        <v>0</v>
      </c>
      <c r="CK676">
        <v>2</v>
      </c>
      <c r="CL676">
        <v>0</v>
      </c>
      <c r="CM676">
        <v>2</v>
      </c>
      <c r="CN676">
        <v>0</v>
      </c>
      <c r="CO676">
        <v>4</v>
      </c>
      <c r="CP676" t="s">
        <v>119</v>
      </c>
      <c r="CQ676">
        <v>550</v>
      </c>
      <c r="CR676">
        <v>0</v>
      </c>
      <c r="CW676">
        <v>5544552</v>
      </c>
      <c r="CY676">
        <v>1</v>
      </c>
      <c r="CZ676">
        <v>0</v>
      </c>
      <c r="DA676">
        <v>1</v>
      </c>
      <c r="DB676">
        <v>0</v>
      </c>
      <c r="DC676">
        <v>0</v>
      </c>
      <c r="DD676">
        <v>1</v>
      </c>
      <c r="DE676">
        <v>0</v>
      </c>
      <c r="DF676">
        <v>0</v>
      </c>
      <c r="DG676">
        <v>0</v>
      </c>
      <c r="DH676">
        <v>0</v>
      </c>
      <c r="DI676">
        <v>0</v>
      </c>
    </row>
    <row r="677" spans="1:113" x14ac:dyDescent="0.3">
      <c r="A677" t="str">
        <f>"09/28/2021 13:56:08.338"</f>
        <v>09/28/2021 13:56:08.338</v>
      </c>
      <c r="C677" t="str">
        <f t="shared" si="32"/>
        <v>FFDFD3C0</v>
      </c>
      <c r="D677" t="s">
        <v>113</v>
      </c>
      <c r="E677">
        <v>7</v>
      </c>
      <c r="H677">
        <v>170</v>
      </c>
      <c r="I677" t="s">
        <v>114</v>
      </c>
      <c r="J677" t="s">
        <v>115</v>
      </c>
      <c r="K677">
        <v>0</v>
      </c>
      <c r="L677">
        <v>3</v>
      </c>
      <c r="M677">
        <v>0</v>
      </c>
      <c r="N677">
        <v>2</v>
      </c>
      <c r="O677">
        <v>1</v>
      </c>
      <c r="P677">
        <v>0</v>
      </c>
      <c r="Q677">
        <v>0</v>
      </c>
      <c r="S677" t="str">
        <f>"13:56:08.070"</f>
        <v>13:56:08.070</v>
      </c>
      <c r="T677" t="str">
        <f>"13:56:07.570"</f>
        <v>13:56:07.570</v>
      </c>
      <c r="U677" t="str">
        <f t="shared" si="34"/>
        <v>A92BC1</v>
      </c>
      <c r="V677">
        <v>0</v>
      </c>
      <c r="W677">
        <v>0</v>
      </c>
      <c r="X677">
        <v>2</v>
      </c>
      <c r="Z677">
        <v>0</v>
      </c>
      <c r="AA677">
        <v>9</v>
      </c>
      <c r="AB677">
        <v>3</v>
      </c>
      <c r="AC677">
        <v>0</v>
      </c>
      <c r="AD677">
        <v>10</v>
      </c>
      <c r="AE677">
        <v>0</v>
      </c>
      <c r="AF677">
        <v>3</v>
      </c>
      <c r="AG677">
        <v>2</v>
      </c>
      <c r="AH677">
        <v>0</v>
      </c>
      <c r="AI677" t="s">
        <v>778</v>
      </c>
      <c r="AJ677">
        <v>45.791252</v>
      </c>
      <c r="AK677" t="s">
        <v>779</v>
      </c>
      <c r="AL677">
        <v>-89.276618999999997</v>
      </c>
      <c r="AM677">
        <v>100</v>
      </c>
      <c r="AN677">
        <v>12300</v>
      </c>
      <c r="AO677" t="s">
        <v>118</v>
      </c>
      <c r="AP677">
        <v>149</v>
      </c>
      <c r="AQ677">
        <v>107</v>
      </c>
      <c r="AR677">
        <v>1280</v>
      </c>
      <c r="AZ677">
        <v>1200</v>
      </c>
      <c r="BA677">
        <v>1</v>
      </c>
      <c r="BB677" t="str">
        <f t="shared" si="33"/>
        <v xml:space="preserve">N690LS  </v>
      </c>
      <c r="BC677">
        <v>1</v>
      </c>
      <c r="BE677">
        <v>0</v>
      </c>
      <c r="BF677">
        <v>0</v>
      </c>
      <c r="BG677">
        <v>0</v>
      </c>
      <c r="BH677">
        <v>12725</v>
      </c>
      <c r="BI677">
        <v>1</v>
      </c>
      <c r="BJ677">
        <v>1</v>
      </c>
      <c r="BK677">
        <v>1</v>
      </c>
      <c r="BL677">
        <v>0</v>
      </c>
      <c r="BO677">
        <v>0</v>
      </c>
      <c r="BP677">
        <v>0</v>
      </c>
      <c r="BW677" t="str">
        <f>"13:56:08.078"</f>
        <v>13:56:08.078</v>
      </c>
      <c r="CJ677">
        <v>0</v>
      </c>
      <c r="CK677">
        <v>2</v>
      </c>
      <c r="CL677">
        <v>0</v>
      </c>
      <c r="CM677">
        <v>2</v>
      </c>
      <c r="CN677">
        <v>0</v>
      </c>
      <c r="CO677">
        <v>7</v>
      </c>
      <c r="CP677" t="s">
        <v>119</v>
      </c>
      <c r="CQ677">
        <v>197</v>
      </c>
      <c r="CR677">
        <v>2</v>
      </c>
      <c r="CW677">
        <v>2389156</v>
      </c>
      <c r="CY677">
        <v>1</v>
      </c>
      <c r="CZ677">
        <v>0</v>
      </c>
      <c r="DA677">
        <v>0</v>
      </c>
      <c r="DB677">
        <v>0</v>
      </c>
      <c r="DC677">
        <v>0</v>
      </c>
      <c r="DD677">
        <v>1</v>
      </c>
      <c r="DE677">
        <v>0</v>
      </c>
      <c r="DF677">
        <v>0</v>
      </c>
      <c r="DG677">
        <v>0</v>
      </c>
      <c r="DH677">
        <v>0</v>
      </c>
      <c r="DI677">
        <v>0</v>
      </c>
    </row>
    <row r="678" spans="1:113" x14ac:dyDescent="0.3">
      <c r="A678" t="str">
        <f>"09/28/2021 13:56:08.338"</f>
        <v>09/28/2021 13:56:08.338</v>
      </c>
      <c r="C678" t="str">
        <f t="shared" si="32"/>
        <v>FFDFD3C0</v>
      </c>
      <c r="D678" t="s">
        <v>120</v>
      </c>
      <c r="E678">
        <v>12</v>
      </c>
      <c r="F678">
        <v>1012</v>
      </c>
      <c r="G678" t="s">
        <v>114</v>
      </c>
      <c r="J678" t="s">
        <v>121</v>
      </c>
      <c r="K678">
        <v>0</v>
      </c>
      <c r="L678">
        <v>3</v>
      </c>
      <c r="M678">
        <v>0</v>
      </c>
      <c r="N678">
        <v>2</v>
      </c>
      <c r="O678">
        <v>1</v>
      </c>
      <c r="P678">
        <v>0</v>
      </c>
      <c r="Q678">
        <v>0</v>
      </c>
      <c r="S678" t="str">
        <f>"13:56:08.078"</f>
        <v>13:56:08.078</v>
      </c>
      <c r="U678" t="str">
        <f t="shared" si="34"/>
        <v>A92BC1</v>
      </c>
      <c r="V678">
        <v>0</v>
      </c>
      <c r="W678">
        <v>0</v>
      </c>
      <c r="X678">
        <v>2</v>
      </c>
      <c r="Z678">
        <v>0</v>
      </c>
      <c r="AA678">
        <v>9</v>
      </c>
      <c r="AB678">
        <v>3</v>
      </c>
      <c r="AC678">
        <v>0</v>
      </c>
      <c r="AD678">
        <v>10</v>
      </c>
      <c r="AE678">
        <v>0</v>
      </c>
      <c r="AF678">
        <v>3</v>
      </c>
      <c r="AG678">
        <v>2</v>
      </c>
      <c r="AH678">
        <v>0</v>
      </c>
      <c r="AI678" t="s">
        <v>778</v>
      </c>
      <c r="AJ678">
        <v>45.791252</v>
      </c>
      <c r="AK678" t="s">
        <v>779</v>
      </c>
      <c r="AL678">
        <v>-89.276618999999997</v>
      </c>
      <c r="AM678">
        <v>100</v>
      </c>
      <c r="AN678">
        <v>12300</v>
      </c>
      <c r="AO678" t="s">
        <v>118</v>
      </c>
      <c r="AP678">
        <v>149</v>
      </c>
      <c r="AQ678">
        <v>107</v>
      </c>
      <c r="AR678">
        <v>1280</v>
      </c>
      <c r="AZ678">
        <v>1200</v>
      </c>
      <c r="BA678">
        <v>1</v>
      </c>
      <c r="BB678" t="str">
        <f t="shared" si="33"/>
        <v xml:space="preserve">N690LS  </v>
      </c>
      <c r="BC678">
        <v>1</v>
      </c>
      <c r="BE678">
        <v>0</v>
      </c>
      <c r="BF678">
        <v>0</v>
      </c>
      <c r="BG678">
        <v>0</v>
      </c>
      <c r="BH678">
        <v>12725</v>
      </c>
      <c r="BI678">
        <v>1</v>
      </c>
      <c r="BJ678">
        <v>1</v>
      </c>
      <c r="BK678">
        <v>1</v>
      </c>
      <c r="BL678">
        <v>0</v>
      </c>
      <c r="BO678">
        <v>0</v>
      </c>
      <c r="BP678">
        <v>0</v>
      </c>
      <c r="BW678" t="str">
        <f>"13:56:08.078"</f>
        <v>13:56:08.078</v>
      </c>
      <c r="CJ678">
        <v>0</v>
      </c>
      <c r="CK678">
        <v>2</v>
      </c>
      <c r="CL678">
        <v>0</v>
      </c>
      <c r="CM678">
        <v>2</v>
      </c>
      <c r="CN678">
        <v>0</v>
      </c>
      <c r="CO678">
        <v>5</v>
      </c>
      <c r="CP678" t="s">
        <v>119</v>
      </c>
      <c r="CQ678">
        <v>550</v>
      </c>
      <c r="CR678">
        <v>0</v>
      </c>
      <c r="CW678">
        <v>5544624</v>
      </c>
      <c r="CY678">
        <v>1</v>
      </c>
      <c r="CZ678">
        <v>0</v>
      </c>
      <c r="DA678">
        <v>1</v>
      </c>
      <c r="DB678">
        <v>0</v>
      </c>
      <c r="DC678">
        <v>0</v>
      </c>
      <c r="DD678">
        <v>1</v>
      </c>
      <c r="DE678">
        <v>0</v>
      </c>
      <c r="DF678">
        <v>0</v>
      </c>
      <c r="DG678">
        <v>0</v>
      </c>
      <c r="DH678">
        <v>0</v>
      </c>
      <c r="DI678">
        <v>0</v>
      </c>
    </row>
    <row r="679" spans="1:113" x14ac:dyDescent="0.3">
      <c r="A679" t="str">
        <f>"09/28/2021 13:56:09.402"</f>
        <v>09/28/2021 13:56:09.402</v>
      </c>
      <c r="C679" t="str">
        <f t="shared" ref="C679:C742" si="35">"FFDFD3C0"</f>
        <v>FFDFD3C0</v>
      </c>
      <c r="D679" t="s">
        <v>113</v>
      </c>
      <c r="E679">
        <v>7</v>
      </c>
      <c r="H679">
        <v>170</v>
      </c>
      <c r="I679" t="s">
        <v>114</v>
      </c>
      <c r="J679" t="s">
        <v>115</v>
      </c>
      <c r="K679">
        <v>0</v>
      </c>
      <c r="L679">
        <v>3</v>
      </c>
      <c r="M679">
        <v>0</v>
      </c>
      <c r="N679">
        <v>2</v>
      </c>
      <c r="O679">
        <v>1</v>
      </c>
      <c r="P679">
        <v>0</v>
      </c>
      <c r="Q679">
        <v>0</v>
      </c>
      <c r="S679" t="str">
        <f>"13:56:09.133"</f>
        <v>13:56:09.133</v>
      </c>
      <c r="T679" t="str">
        <f>"13:56:08.633"</f>
        <v>13:56:08.633</v>
      </c>
      <c r="U679" t="str">
        <f t="shared" si="34"/>
        <v>A92BC1</v>
      </c>
      <c r="V679">
        <v>0</v>
      </c>
      <c r="W679">
        <v>0</v>
      </c>
      <c r="X679">
        <v>2</v>
      </c>
      <c r="Z679">
        <v>0</v>
      </c>
      <c r="AA679">
        <v>9</v>
      </c>
      <c r="AB679">
        <v>3</v>
      </c>
      <c r="AC679">
        <v>0</v>
      </c>
      <c r="AD679">
        <v>10</v>
      </c>
      <c r="AE679">
        <v>0</v>
      </c>
      <c r="AF679">
        <v>3</v>
      </c>
      <c r="AG679">
        <v>2</v>
      </c>
      <c r="AH679">
        <v>0</v>
      </c>
      <c r="AI679" t="s">
        <v>780</v>
      </c>
      <c r="AJ679">
        <v>45.791787999999997</v>
      </c>
      <c r="AK679" t="s">
        <v>781</v>
      </c>
      <c r="AL679">
        <v>-89.275503</v>
      </c>
      <c r="AM679">
        <v>100</v>
      </c>
      <c r="AN679">
        <v>12400</v>
      </c>
      <c r="AO679" t="s">
        <v>118</v>
      </c>
      <c r="AP679">
        <v>149</v>
      </c>
      <c r="AQ679">
        <v>107</v>
      </c>
      <c r="AR679">
        <v>1280</v>
      </c>
      <c r="AZ679">
        <v>1200</v>
      </c>
      <c r="BA679">
        <v>1</v>
      </c>
      <c r="BB679" t="str">
        <f t="shared" ref="BB679:BB742" si="36">"N690LS  "</f>
        <v xml:space="preserve">N690LS  </v>
      </c>
      <c r="BC679">
        <v>1</v>
      </c>
      <c r="BE679">
        <v>0</v>
      </c>
      <c r="BF679">
        <v>0</v>
      </c>
      <c r="BG679">
        <v>0</v>
      </c>
      <c r="BH679">
        <v>12750</v>
      </c>
      <c r="BI679">
        <v>1</v>
      </c>
      <c r="BJ679">
        <v>1</v>
      </c>
      <c r="BK679">
        <v>1</v>
      </c>
      <c r="BL679">
        <v>0</v>
      </c>
      <c r="BO679">
        <v>0</v>
      </c>
      <c r="BP679">
        <v>0</v>
      </c>
      <c r="BW679" t="str">
        <f>"13:56:09.138"</f>
        <v>13:56:09.138</v>
      </c>
      <c r="CJ679">
        <v>0</v>
      </c>
      <c r="CK679">
        <v>2</v>
      </c>
      <c r="CL679">
        <v>0</v>
      </c>
      <c r="CM679">
        <v>2</v>
      </c>
      <c r="CN679">
        <v>0</v>
      </c>
      <c r="CO679">
        <v>6</v>
      </c>
      <c r="CP679" t="s">
        <v>119</v>
      </c>
      <c r="CQ679">
        <v>209</v>
      </c>
      <c r="CR679">
        <v>3</v>
      </c>
      <c r="CW679">
        <v>7214320</v>
      </c>
      <c r="CY679">
        <v>1</v>
      </c>
      <c r="CZ679">
        <v>0</v>
      </c>
      <c r="DA679">
        <v>0</v>
      </c>
      <c r="DB679">
        <v>0</v>
      </c>
      <c r="DC679">
        <v>0</v>
      </c>
      <c r="DD679">
        <v>1</v>
      </c>
      <c r="DE679">
        <v>0</v>
      </c>
      <c r="DF679">
        <v>0</v>
      </c>
      <c r="DG679">
        <v>0</v>
      </c>
      <c r="DH679">
        <v>0</v>
      </c>
      <c r="DI679">
        <v>0</v>
      </c>
    </row>
    <row r="680" spans="1:113" x14ac:dyDescent="0.3">
      <c r="A680" t="str">
        <f>"09/28/2021 13:56:09.402"</f>
        <v>09/28/2021 13:56:09.402</v>
      </c>
      <c r="C680" t="str">
        <f t="shared" si="35"/>
        <v>FFDFD3C0</v>
      </c>
      <c r="D680" t="s">
        <v>120</v>
      </c>
      <c r="E680">
        <v>12</v>
      </c>
      <c r="F680">
        <v>1012</v>
      </c>
      <c r="G680" t="s">
        <v>114</v>
      </c>
      <c r="J680" t="s">
        <v>121</v>
      </c>
      <c r="K680">
        <v>0</v>
      </c>
      <c r="L680">
        <v>3</v>
      </c>
      <c r="M680">
        <v>0</v>
      </c>
      <c r="N680">
        <v>2</v>
      </c>
      <c r="O680">
        <v>1</v>
      </c>
      <c r="P680">
        <v>0</v>
      </c>
      <c r="Q680">
        <v>0</v>
      </c>
      <c r="S680" t="str">
        <f>"13:56:09.133"</f>
        <v>13:56:09.133</v>
      </c>
      <c r="U680" t="str">
        <f t="shared" si="34"/>
        <v>A92BC1</v>
      </c>
      <c r="V680">
        <v>0</v>
      </c>
      <c r="W680">
        <v>0</v>
      </c>
      <c r="X680">
        <v>2</v>
      </c>
      <c r="Z680">
        <v>0</v>
      </c>
      <c r="AA680">
        <v>9</v>
      </c>
      <c r="AB680">
        <v>3</v>
      </c>
      <c r="AC680">
        <v>0</v>
      </c>
      <c r="AD680">
        <v>10</v>
      </c>
      <c r="AE680">
        <v>0</v>
      </c>
      <c r="AF680">
        <v>3</v>
      </c>
      <c r="AG680">
        <v>2</v>
      </c>
      <c r="AH680">
        <v>0</v>
      </c>
      <c r="AI680" t="s">
        <v>780</v>
      </c>
      <c r="AJ680">
        <v>45.791787999999997</v>
      </c>
      <c r="AK680" t="s">
        <v>781</v>
      </c>
      <c r="AL680">
        <v>-89.275503</v>
      </c>
      <c r="AM680">
        <v>100</v>
      </c>
      <c r="AN680">
        <v>12400</v>
      </c>
      <c r="AO680" t="s">
        <v>118</v>
      </c>
      <c r="AP680">
        <v>149</v>
      </c>
      <c r="AQ680">
        <v>107</v>
      </c>
      <c r="AR680">
        <v>1280</v>
      </c>
      <c r="AZ680">
        <v>1200</v>
      </c>
      <c r="BA680">
        <v>1</v>
      </c>
      <c r="BB680" t="str">
        <f t="shared" si="36"/>
        <v xml:space="preserve">N690LS  </v>
      </c>
      <c r="BC680">
        <v>1</v>
      </c>
      <c r="BE680">
        <v>0</v>
      </c>
      <c r="BF680">
        <v>0</v>
      </c>
      <c r="BG680">
        <v>0</v>
      </c>
      <c r="BH680">
        <v>12750</v>
      </c>
      <c r="BI680">
        <v>1</v>
      </c>
      <c r="BJ680">
        <v>1</v>
      </c>
      <c r="BK680">
        <v>1</v>
      </c>
      <c r="BL680">
        <v>0</v>
      </c>
      <c r="BO680">
        <v>0</v>
      </c>
      <c r="BP680">
        <v>0</v>
      </c>
      <c r="BW680" t="str">
        <f>"13:56:09.138"</f>
        <v>13:56:09.138</v>
      </c>
      <c r="CJ680">
        <v>0</v>
      </c>
      <c r="CK680">
        <v>2</v>
      </c>
      <c r="CL680">
        <v>0</v>
      </c>
      <c r="CM680">
        <v>2</v>
      </c>
      <c r="CN680">
        <v>0</v>
      </c>
      <c r="CO680">
        <v>5</v>
      </c>
      <c r="CP680" t="s">
        <v>119</v>
      </c>
      <c r="CQ680">
        <v>550</v>
      </c>
      <c r="CR680">
        <v>0</v>
      </c>
      <c r="CW680">
        <v>5544693</v>
      </c>
      <c r="CY680">
        <v>1</v>
      </c>
      <c r="CZ680">
        <v>0</v>
      </c>
      <c r="DA680">
        <v>1</v>
      </c>
      <c r="DB680">
        <v>0</v>
      </c>
      <c r="DC680">
        <v>0</v>
      </c>
      <c r="DD680">
        <v>1</v>
      </c>
      <c r="DE680">
        <v>0</v>
      </c>
      <c r="DF680">
        <v>0</v>
      </c>
      <c r="DG680">
        <v>0</v>
      </c>
      <c r="DH680">
        <v>0</v>
      </c>
      <c r="DI680">
        <v>0</v>
      </c>
    </row>
    <row r="681" spans="1:113" x14ac:dyDescent="0.3">
      <c r="A681" t="str">
        <f>"09/28/2021 13:56:10.417"</f>
        <v>09/28/2021 13:56:10.417</v>
      </c>
      <c r="C681" t="str">
        <f t="shared" si="35"/>
        <v>FFDFD3C0</v>
      </c>
      <c r="D681" t="s">
        <v>113</v>
      </c>
      <c r="E681">
        <v>7</v>
      </c>
      <c r="H681">
        <v>170</v>
      </c>
      <c r="I681" t="s">
        <v>114</v>
      </c>
      <c r="J681" t="s">
        <v>115</v>
      </c>
      <c r="K681">
        <v>0</v>
      </c>
      <c r="L681">
        <v>3</v>
      </c>
      <c r="M681">
        <v>0</v>
      </c>
      <c r="N681">
        <v>2</v>
      </c>
      <c r="O681">
        <v>1</v>
      </c>
      <c r="P681">
        <v>0</v>
      </c>
      <c r="Q681">
        <v>0</v>
      </c>
      <c r="S681" t="str">
        <f>"13:56:10.195"</f>
        <v>13:56:10.195</v>
      </c>
      <c r="T681" t="str">
        <f>"13:56:09.695"</f>
        <v>13:56:09.695</v>
      </c>
      <c r="U681" t="str">
        <f t="shared" si="34"/>
        <v>A92BC1</v>
      </c>
      <c r="V681">
        <v>0</v>
      </c>
      <c r="W681">
        <v>0</v>
      </c>
      <c r="X681">
        <v>2</v>
      </c>
      <c r="Z681">
        <v>0</v>
      </c>
      <c r="AA681">
        <v>9</v>
      </c>
      <c r="AB681">
        <v>3</v>
      </c>
      <c r="AC681">
        <v>0</v>
      </c>
      <c r="AD681">
        <v>10</v>
      </c>
      <c r="AE681">
        <v>0</v>
      </c>
      <c r="AF681">
        <v>3</v>
      </c>
      <c r="AG681">
        <v>2</v>
      </c>
      <c r="AH681">
        <v>0</v>
      </c>
      <c r="AI681" t="s">
        <v>782</v>
      </c>
      <c r="AJ681">
        <v>45.792302999999997</v>
      </c>
      <c r="AK681" t="s">
        <v>783</v>
      </c>
      <c r="AL681">
        <v>-89.274558999999996</v>
      </c>
      <c r="AM681">
        <v>100</v>
      </c>
      <c r="AN681">
        <v>12400</v>
      </c>
      <c r="AO681" t="s">
        <v>118</v>
      </c>
      <c r="AP681">
        <v>150</v>
      </c>
      <c r="AQ681">
        <v>107</v>
      </c>
      <c r="AR681">
        <v>1280</v>
      </c>
      <c r="AZ681">
        <v>1200</v>
      </c>
      <c r="BA681">
        <v>1</v>
      </c>
      <c r="BB681" t="str">
        <f t="shared" si="36"/>
        <v xml:space="preserve">N690LS  </v>
      </c>
      <c r="BC681">
        <v>1</v>
      </c>
      <c r="BE681">
        <v>0</v>
      </c>
      <c r="BF681">
        <v>0</v>
      </c>
      <c r="BG681">
        <v>0</v>
      </c>
      <c r="BH681">
        <v>12775</v>
      </c>
      <c r="BI681">
        <v>1</v>
      </c>
      <c r="BJ681">
        <v>1</v>
      </c>
      <c r="BK681">
        <v>1</v>
      </c>
      <c r="BL681">
        <v>0</v>
      </c>
      <c r="BO681">
        <v>0</v>
      </c>
      <c r="BP681">
        <v>0</v>
      </c>
      <c r="BW681" t="str">
        <f>"13:56:10.196"</f>
        <v>13:56:10.196</v>
      </c>
      <c r="CJ681">
        <v>0</v>
      </c>
      <c r="CK681">
        <v>2</v>
      </c>
      <c r="CL681">
        <v>0</v>
      </c>
      <c r="CM681">
        <v>2</v>
      </c>
      <c r="CN681">
        <v>0</v>
      </c>
      <c r="CO681">
        <v>6</v>
      </c>
      <c r="CP681" t="s">
        <v>119</v>
      </c>
      <c r="CQ681">
        <v>209</v>
      </c>
      <c r="CR681">
        <v>3</v>
      </c>
      <c r="CW681">
        <v>7214657</v>
      </c>
      <c r="CY681">
        <v>1</v>
      </c>
      <c r="CZ681">
        <v>0</v>
      </c>
      <c r="DA681">
        <v>0</v>
      </c>
      <c r="DB681">
        <v>0</v>
      </c>
      <c r="DC681">
        <v>0</v>
      </c>
      <c r="DD681">
        <v>1</v>
      </c>
      <c r="DE681">
        <v>0</v>
      </c>
      <c r="DF681">
        <v>0</v>
      </c>
      <c r="DG681">
        <v>0</v>
      </c>
      <c r="DH681">
        <v>0</v>
      </c>
      <c r="DI681">
        <v>0</v>
      </c>
    </row>
    <row r="682" spans="1:113" x14ac:dyDescent="0.3">
      <c r="A682" t="str">
        <f>"09/28/2021 13:56:10.417"</f>
        <v>09/28/2021 13:56:10.417</v>
      </c>
      <c r="C682" t="str">
        <f t="shared" si="35"/>
        <v>FFDFD3C0</v>
      </c>
      <c r="D682" t="s">
        <v>120</v>
      </c>
      <c r="E682">
        <v>12</v>
      </c>
      <c r="F682">
        <v>1012</v>
      </c>
      <c r="G682" t="s">
        <v>114</v>
      </c>
      <c r="J682" t="s">
        <v>121</v>
      </c>
      <c r="K682">
        <v>0</v>
      </c>
      <c r="L682">
        <v>3</v>
      </c>
      <c r="M682">
        <v>0</v>
      </c>
      <c r="N682">
        <v>2</v>
      </c>
      <c r="O682">
        <v>1</v>
      </c>
      <c r="P682">
        <v>0</v>
      </c>
      <c r="Q682">
        <v>0</v>
      </c>
      <c r="S682" t="str">
        <f>"13:56:10.195"</f>
        <v>13:56:10.195</v>
      </c>
      <c r="U682" t="str">
        <f t="shared" si="34"/>
        <v>A92BC1</v>
      </c>
      <c r="V682">
        <v>0</v>
      </c>
      <c r="W682">
        <v>0</v>
      </c>
      <c r="X682">
        <v>2</v>
      </c>
      <c r="Z682">
        <v>0</v>
      </c>
      <c r="AA682">
        <v>9</v>
      </c>
      <c r="AB682">
        <v>3</v>
      </c>
      <c r="AC682">
        <v>0</v>
      </c>
      <c r="AD682">
        <v>10</v>
      </c>
      <c r="AE682">
        <v>0</v>
      </c>
      <c r="AF682">
        <v>3</v>
      </c>
      <c r="AG682">
        <v>2</v>
      </c>
      <c r="AH682">
        <v>0</v>
      </c>
      <c r="AI682" t="s">
        <v>782</v>
      </c>
      <c r="AJ682">
        <v>45.792302999999997</v>
      </c>
      <c r="AK682" t="s">
        <v>783</v>
      </c>
      <c r="AL682">
        <v>-89.274558999999996</v>
      </c>
      <c r="AM682">
        <v>100</v>
      </c>
      <c r="AN682">
        <v>12400</v>
      </c>
      <c r="AO682" t="s">
        <v>118</v>
      </c>
      <c r="AP682">
        <v>150</v>
      </c>
      <c r="AQ682">
        <v>107</v>
      </c>
      <c r="AR682">
        <v>1280</v>
      </c>
      <c r="AZ682">
        <v>1200</v>
      </c>
      <c r="BA682">
        <v>1</v>
      </c>
      <c r="BB682" t="str">
        <f t="shared" si="36"/>
        <v xml:space="preserve">N690LS  </v>
      </c>
      <c r="BC682">
        <v>1</v>
      </c>
      <c r="BE682">
        <v>0</v>
      </c>
      <c r="BF682">
        <v>0</v>
      </c>
      <c r="BG682">
        <v>0</v>
      </c>
      <c r="BH682">
        <v>12775</v>
      </c>
      <c r="BI682">
        <v>1</v>
      </c>
      <c r="BJ682">
        <v>1</v>
      </c>
      <c r="BK682">
        <v>1</v>
      </c>
      <c r="BL682">
        <v>0</v>
      </c>
      <c r="BO682">
        <v>0</v>
      </c>
      <c r="BP682">
        <v>0</v>
      </c>
      <c r="BW682" t="str">
        <f>"13:56:10.197"</f>
        <v>13:56:10.197</v>
      </c>
      <c r="CJ682">
        <v>0</v>
      </c>
      <c r="CK682">
        <v>2</v>
      </c>
      <c r="CL682">
        <v>0</v>
      </c>
      <c r="CM682">
        <v>2</v>
      </c>
      <c r="CN682">
        <v>0</v>
      </c>
      <c r="CO682">
        <v>4</v>
      </c>
      <c r="CP682" t="s">
        <v>119</v>
      </c>
      <c r="CQ682">
        <v>550</v>
      </c>
      <c r="CR682">
        <v>0</v>
      </c>
      <c r="CW682">
        <v>5544755</v>
      </c>
      <c r="CY682">
        <v>1</v>
      </c>
      <c r="CZ682">
        <v>0</v>
      </c>
      <c r="DA682">
        <v>1</v>
      </c>
      <c r="DB682">
        <v>0</v>
      </c>
      <c r="DC682">
        <v>0</v>
      </c>
      <c r="DD682">
        <v>1</v>
      </c>
      <c r="DE682">
        <v>0</v>
      </c>
      <c r="DF682">
        <v>0</v>
      </c>
      <c r="DG682">
        <v>0</v>
      </c>
      <c r="DH682">
        <v>0</v>
      </c>
      <c r="DI682">
        <v>0</v>
      </c>
    </row>
    <row r="683" spans="1:113" x14ac:dyDescent="0.3">
      <c r="A683" t="str">
        <f>"09/28/2021 13:56:11.433"</f>
        <v>09/28/2021 13:56:11.433</v>
      </c>
      <c r="C683" t="str">
        <f t="shared" si="35"/>
        <v>FFDFD3C0</v>
      </c>
      <c r="D683" t="s">
        <v>113</v>
      </c>
      <c r="E683">
        <v>7</v>
      </c>
      <c r="H683">
        <v>170</v>
      </c>
      <c r="I683" t="s">
        <v>114</v>
      </c>
      <c r="J683" t="s">
        <v>115</v>
      </c>
      <c r="K683">
        <v>0</v>
      </c>
      <c r="L683">
        <v>3</v>
      </c>
      <c r="M683">
        <v>0</v>
      </c>
      <c r="N683">
        <v>2</v>
      </c>
      <c r="O683">
        <v>1</v>
      </c>
      <c r="P683">
        <v>0</v>
      </c>
      <c r="Q683">
        <v>0</v>
      </c>
      <c r="S683" t="str">
        <f>"13:56:11.211"</f>
        <v>13:56:11.211</v>
      </c>
      <c r="T683" t="str">
        <f>"13:56:10.811"</f>
        <v>13:56:10.811</v>
      </c>
      <c r="U683" t="str">
        <f t="shared" si="34"/>
        <v>A92BC1</v>
      </c>
      <c r="V683">
        <v>0</v>
      </c>
      <c r="W683">
        <v>0</v>
      </c>
      <c r="X683">
        <v>2</v>
      </c>
      <c r="Z683">
        <v>0</v>
      </c>
      <c r="AA683">
        <v>9</v>
      </c>
      <c r="AB683">
        <v>3</v>
      </c>
      <c r="AC683">
        <v>0</v>
      </c>
      <c r="AD683">
        <v>10</v>
      </c>
      <c r="AE683">
        <v>0</v>
      </c>
      <c r="AF683">
        <v>3</v>
      </c>
      <c r="AG683">
        <v>2</v>
      </c>
      <c r="AH683">
        <v>0</v>
      </c>
      <c r="AI683" t="s">
        <v>784</v>
      </c>
      <c r="AJ683">
        <v>45.792797</v>
      </c>
      <c r="AK683" t="s">
        <v>785</v>
      </c>
      <c r="AL683">
        <v>-89.273572000000001</v>
      </c>
      <c r="AM683">
        <v>100</v>
      </c>
      <c r="AN683">
        <v>12400</v>
      </c>
      <c r="AO683" t="s">
        <v>118</v>
      </c>
      <c r="AP683">
        <v>150</v>
      </c>
      <c r="AQ683">
        <v>107</v>
      </c>
      <c r="AR683">
        <v>1280</v>
      </c>
      <c r="AZ683">
        <v>1200</v>
      </c>
      <c r="BA683">
        <v>1</v>
      </c>
      <c r="BB683" t="str">
        <f t="shared" si="36"/>
        <v xml:space="preserve">N690LS  </v>
      </c>
      <c r="BC683">
        <v>1</v>
      </c>
      <c r="BE683">
        <v>0</v>
      </c>
      <c r="BF683">
        <v>0</v>
      </c>
      <c r="BG683">
        <v>0</v>
      </c>
      <c r="BH683">
        <v>12800</v>
      </c>
      <c r="BI683">
        <v>1</v>
      </c>
      <c r="BJ683">
        <v>1</v>
      </c>
      <c r="BK683">
        <v>1</v>
      </c>
      <c r="BL683">
        <v>0</v>
      </c>
      <c r="BO683">
        <v>0</v>
      </c>
      <c r="BP683">
        <v>0</v>
      </c>
      <c r="BW683" t="str">
        <f>"13:56:11.217"</f>
        <v>13:56:11.217</v>
      </c>
      <c r="CJ683">
        <v>0</v>
      </c>
      <c r="CK683">
        <v>2</v>
      </c>
      <c r="CL683">
        <v>0</v>
      </c>
      <c r="CM683">
        <v>2</v>
      </c>
      <c r="CN683">
        <v>0</v>
      </c>
      <c r="CO683">
        <v>7</v>
      </c>
      <c r="CP683" t="s">
        <v>119</v>
      </c>
      <c r="CQ683">
        <v>197</v>
      </c>
      <c r="CR683">
        <v>1</v>
      </c>
      <c r="CW683">
        <v>7335537</v>
      </c>
      <c r="CY683">
        <v>1</v>
      </c>
      <c r="CZ683">
        <v>0</v>
      </c>
      <c r="DA683">
        <v>0</v>
      </c>
      <c r="DB683">
        <v>0</v>
      </c>
      <c r="DC683">
        <v>0</v>
      </c>
      <c r="DD683">
        <v>1</v>
      </c>
      <c r="DE683">
        <v>0</v>
      </c>
      <c r="DF683">
        <v>0</v>
      </c>
      <c r="DG683">
        <v>0</v>
      </c>
      <c r="DH683">
        <v>0</v>
      </c>
      <c r="DI683">
        <v>0</v>
      </c>
    </row>
    <row r="684" spans="1:113" x14ac:dyDescent="0.3">
      <c r="A684" t="str">
        <f>"09/28/2021 13:56:11.433"</f>
        <v>09/28/2021 13:56:11.433</v>
      </c>
      <c r="C684" t="str">
        <f t="shared" si="35"/>
        <v>FFDFD3C0</v>
      </c>
      <c r="D684" t="s">
        <v>120</v>
      </c>
      <c r="E684">
        <v>12</v>
      </c>
      <c r="F684">
        <v>1012</v>
      </c>
      <c r="G684" t="s">
        <v>114</v>
      </c>
      <c r="J684" t="s">
        <v>121</v>
      </c>
      <c r="K684">
        <v>0</v>
      </c>
      <c r="L684">
        <v>3</v>
      </c>
      <c r="M684">
        <v>0</v>
      </c>
      <c r="N684">
        <v>2</v>
      </c>
      <c r="O684">
        <v>1</v>
      </c>
      <c r="P684">
        <v>0</v>
      </c>
      <c r="Q684">
        <v>0</v>
      </c>
      <c r="S684" t="str">
        <f>"13:56:11.211"</f>
        <v>13:56:11.211</v>
      </c>
      <c r="T684" t="str">
        <f>"13:56:10.811"</f>
        <v>13:56:10.811</v>
      </c>
      <c r="U684" t="str">
        <f t="shared" si="34"/>
        <v>A92BC1</v>
      </c>
      <c r="V684">
        <v>0</v>
      </c>
      <c r="W684">
        <v>0</v>
      </c>
      <c r="X684">
        <v>2</v>
      </c>
      <c r="Z684">
        <v>0</v>
      </c>
      <c r="AA684">
        <v>9</v>
      </c>
      <c r="AB684">
        <v>3</v>
      </c>
      <c r="AC684">
        <v>0</v>
      </c>
      <c r="AD684">
        <v>10</v>
      </c>
      <c r="AE684">
        <v>0</v>
      </c>
      <c r="AF684">
        <v>3</v>
      </c>
      <c r="AG684">
        <v>2</v>
      </c>
      <c r="AH684">
        <v>0</v>
      </c>
      <c r="AI684" t="s">
        <v>784</v>
      </c>
      <c r="AJ684">
        <v>45.792797</v>
      </c>
      <c r="AK684" t="s">
        <v>785</v>
      </c>
      <c r="AL684">
        <v>-89.273572000000001</v>
      </c>
      <c r="AM684">
        <v>100</v>
      </c>
      <c r="AN684">
        <v>12400</v>
      </c>
      <c r="AO684" t="s">
        <v>118</v>
      </c>
      <c r="AP684">
        <v>150</v>
      </c>
      <c r="AQ684">
        <v>107</v>
      </c>
      <c r="AR684">
        <v>1280</v>
      </c>
      <c r="AZ684">
        <v>1200</v>
      </c>
      <c r="BA684">
        <v>1</v>
      </c>
      <c r="BB684" t="str">
        <f t="shared" si="36"/>
        <v xml:space="preserve">N690LS  </v>
      </c>
      <c r="BC684">
        <v>1</v>
      </c>
      <c r="BE684">
        <v>0</v>
      </c>
      <c r="BF684">
        <v>0</v>
      </c>
      <c r="BG684">
        <v>0</v>
      </c>
      <c r="BH684">
        <v>12800</v>
      </c>
      <c r="BI684">
        <v>1</v>
      </c>
      <c r="BJ684">
        <v>1</v>
      </c>
      <c r="BK684">
        <v>1</v>
      </c>
      <c r="BL684">
        <v>0</v>
      </c>
      <c r="BO684">
        <v>0</v>
      </c>
      <c r="BP684">
        <v>0</v>
      </c>
      <c r="BW684" t="str">
        <f>"13:56:11.217"</f>
        <v>13:56:11.217</v>
      </c>
      <c r="CJ684">
        <v>0</v>
      </c>
      <c r="CK684">
        <v>2</v>
      </c>
      <c r="CL684">
        <v>0</v>
      </c>
      <c r="CM684">
        <v>2</v>
      </c>
      <c r="CN684">
        <v>0</v>
      </c>
      <c r="CO684">
        <v>7</v>
      </c>
      <c r="CP684" t="s">
        <v>119</v>
      </c>
      <c r="CQ684">
        <v>197</v>
      </c>
      <c r="CR684">
        <v>1</v>
      </c>
      <c r="CW684">
        <v>7335537</v>
      </c>
      <c r="CY684">
        <v>1</v>
      </c>
      <c r="CZ684">
        <v>0</v>
      </c>
      <c r="DA684">
        <v>1</v>
      </c>
      <c r="DB684">
        <v>0</v>
      </c>
      <c r="DC684">
        <v>0</v>
      </c>
      <c r="DD684">
        <v>1</v>
      </c>
      <c r="DE684">
        <v>0</v>
      </c>
      <c r="DF684">
        <v>0</v>
      </c>
      <c r="DG684">
        <v>0</v>
      </c>
      <c r="DH684">
        <v>0</v>
      </c>
      <c r="DI684">
        <v>0</v>
      </c>
    </row>
    <row r="685" spans="1:113" x14ac:dyDescent="0.3">
      <c r="A685" t="str">
        <f>"09/28/2021 13:56:12.479"</f>
        <v>09/28/2021 13:56:12.479</v>
      </c>
      <c r="C685" t="str">
        <f t="shared" si="35"/>
        <v>FFDFD3C0</v>
      </c>
      <c r="D685" t="s">
        <v>113</v>
      </c>
      <c r="E685">
        <v>7</v>
      </c>
      <c r="H685">
        <v>170</v>
      </c>
      <c r="I685" t="s">
        <v>114</v>
      </c>
      <c r="J685" t="s">
        <v>115</v>
      </c>
      <c r="K685">
        <v>0</v>
      </c>
      <c r="L685">
        <v>3</v>
      </c>
      <c r="M685">
        <v>0</v>
      </c>
      <c r="N685">
        <v>2</v>
      </c>
      <c r="O685">
        <v>1</v>
      </c>
      <c r="P685">
        <v>0</v>
      </c>
      <c r="Q685">
        <v>0</v>
      </c>
      <c r="S685" t="str">
        <f>"13:56:12.227"</f>
        <v>13:56:12.227</v>
      </c>
      <c r="T685" t="str">
        <f>"13:56:11.827"</f>
        <v>13:56:11.827</v>
      </c>
      <c r="U685" t="str">
        <f t="shared" si="34"/>
        <v>A92BC1</v>
      </c>
      <c r="V685">
        <v>0</v>
      </c>
      <c r="W685">
        <v>0</v>
      </c>
      <c r="X685">
        <v>2</v>
      </c>
      <c r="Z685">
        <v>0</v>
      </c>
      <c r="AA685">
        <v>9</v>
      </c>
      <c r="AB685">
        <v>3</v>
      </c>
      <c r="AC685">
        <v>0</v>
      </c>
      <c r="AD685">
        <v>10</v>
      </c>
      <c r="AE685">
        <v>0</v>
      </c>
      <c r="AF685">
        <v>3</v>
      </c>
      <c r="AG685">
        <v>2</v>
      </c>
      <c r="AH685">
        <v>0</v>
      </c>
      <c r="AI685" t="s">
        <v>786</v>
      </c>
      <c r="AJ685">
        <v>45.793332999999997</v>
      </c>
      <c r="AK685" t="s">
        <v>787</v>
      </c>
      <c r="AL685">
        <v>-89.272435000000002</v>
      </c>
      <c r="AM685">
        <v>100</v>
      </c>
      <c r="AN685">
        <v>12400</v>
      </c>
      <c r="AO685" t="s">
        <v>118</v>
      </c>
      <c r="AP685">
        <v>150</v>
      </c>
      <c r="AQ685">
        <v>107</v>
      </c>
      <c r="AR685">
        <v>1280</v>
      </c>
      <c r="AZ685">
        <v>1200</v>
      </c>
      <c r="BA685">
        <v>1</v>
      </c>
      <c r="BB685" t="str">
        <f t="shared" si="36"/>
        <v xml:space="preserve">N690LS  </v>
      </c>
      <c r="BC685">
        <v>1</v>
      </c>
      <c r="BE685">
        <v>0</v>
      </c>
      <c r="BF685">
        <v>0</v>
      </c>
      <c r="BG685">
        <v>0</v>
      </c>
      <c r="BH685">
        <v>12800</v>
      </c>
      <c r="BI685">
        <v>1</v>
      </c>
      <c r="BJ685">
        <v>1</v>
      </c>
      <c r="BK685">
        <v>1</v>
      </c>
      <c r="BL685">
        <v>0</v>
      </c>
      <c r="BO685">
        <v>0</v>
      </c>
      <c r="BP685">
        <v>0</v>
      </c>
      <c r="BW685" t="str">
        <f>"13:56:12.231"</f>
        <v>13:56:12.231</v>
      </c>
      <c r="CJ685">
        <v>0</v>
      </c>
      <c r="CK685">
        <v>2</v>
      </c>
      <c r="CL685">
        <v>0</v>
      </c>
      <c r="CM685">
        <v>2</v>
      </c>
      <c r="CN685">
        <v>0</v>
      </c>
      <c r="CO685">
        <v>6</v>
      </c>
      <c r="CP685" t="s">
        <v>119</v>
      </c>
      <c r="CQ685">
        <v>209</v>
      </c>
      <c r="CR685">
        <v>3</v>
      </c>
      <c r="CW685">
        <v>7215289</v>
      </c>
      <c r="CY685">
        <v>1</v>
      </c>
      <c r="CZ685">
        <v>0</v>
      </c>
      <c r="DA685">
        <v>0</v>
      </c>
      <c r="DB685">
        <v>0</v>
      </c>
      <c r="DC685">
        <v>0</v>
      </c>
      <c r="DD685">
        <v>1</v>
      </c>
      <c r="DE685">
        <v>0</v>
      </c>
      <c r="DF685">
        <v>0</v>
      </c>
      <c r="DG685">
        <v>0</v>
      </c>
      <c r="DH685">
        <v>0</v>
      </c>
      <c r="DI685">
        <v>0</v>
      </c>
    </row>
    <row r="686" spans="1:113" x14ac:dyDescent="0.3">
      <c r="A686" t="str">
        <f>"09/28/2021 13:56:12.479"</f>
        <v>09/28/2021 13:56:12.479</v>
      </c>
      <c r="C686" t="str">
        <f t="shared" si="35"/>
        <v>FFDFD3C0</v>
      </c>
      <c r="D686" t="s">
        <v>120</v>
      </c>
      <c r="E686">
        <v>12</v>
      </c>
      <c r="F686">
        <v>1012</v>
      </c>
      <c r="G686" t="s">
        <v>114</v>
      </c>
      <c r="J686" t="s">
        <v>121</v>
      </c>
      <c r="K686">
        <v>0</v>
      </c>
      <c r="L686">
        <v>3</v>
      </c>
      <c r="M686">
        <v>0</v>
      </c>
      <c r="N686">
        <v>2</v>
      </c>
      <c r="O686">
        <v>1</v>
      </c>
      <c r="P686">
        <v>0</v>
      </c>
      <c r="Q686">
        <v>0</v>
      </c>
      <c r="S686" t="str">
        <f>"13:56:12.227"</f>
        <v>13:56:12.227</v>
      </c>
      <c r="T686" t="str">
        <f>"13:56:11.827"</f>
        <v>13:56:11.827</v>
      </c>
      <c r="U686" t="str">
        <f t="shared" si="34"/>
        <v>A92BC1</v>
      </c>
      <c r="V686">
        <v>0</v>
      </c>
      <c r="W686">
        <v>0</v>
      </c>
      <c r="X686">
        <v>2</v>
      </c>
      <c r="Z686">
        <v>0</v>
      </c>
      <c r="AA686">
        <v>9</v>
      </c>
      <c r="AB686">
        <v>3</v>
      </c>
      <c r="AC686">
        <v>0</v>
      </c>
      <c r="AD686">
        <v>10</v>
      </c>
      <c r="AE686">
        <v>0</v>
      </c>
      <c r="AF686">
        <v>3</v>
      </c>
      <c r="AG686">
        <v>2</v>
      </c>
      <c r="AH686">
        <v>0</v>
      </c>
      <c r="AI686" t="s">
        <v>786</v>
      </c>
      <c r="AJ686">
        <v>45.793332999999997</v>
      </c>
      <c r="AK686" t="s">
        <v>787</v>
      </c>
      <c r="AL686">
        <v>-89.272435000000002</v>
      </c>
      <c r="AM686">
        <v>100</v>
      </c>
      <c r="AN686">
        <v>12400</v>
      </c>
      <c r="AO686" t="s">
        <v>118</v>
      </c>
      <c r="AP686">
        <v>150</v>
      </c>
      <c r="AQ686">
        <v>107</v>
      </c>
      <c r="AR686">
        <v>1280</v>
      </c>
      <c r="AZ686">
        <v>1200</v>
      </c>
      <c r="BA686">
        <v>1</v>
      </c>
      <c r="BB686" t="str">
        <f t="shared" si="36"/>
        <v xml:space="preserve">N690LS  </v>
      </c>
      <c r="BC686">
        <v>1</v>
      </c>
      <c r="BE686">
        <v>0</v>
      </c>
      <c r="BF686">
        <v>0</v>
      </c>
      <c r="BG686">
        <v>0</v>
      </c>
      <c r="BH686">
        <v>12800</v>
      </c>
      <c r="BI686">
        <v>1</v>
      </c>
      <c r="BJ686">
        <v>1</v>
      </c>
      <c r="BK686">
        <v>1</v>
      </c>
      <c r="BL686">
        <v>0</v>
      </c>
      <c r="BO686">
        <v>0</v>
      </c>
      <c r="BP686">
        <v>0</v>
      </c>
      <c r="BW686" t="str">
        <f>"13:56:12.231"</f>
        <v>13:56:12.231</v>
      </c>
      <c r="CJ686">
        <v>0</v>
      </c>
      <c r="CK686">
        <v>2</v>
      </c>
      <c r="CL686">
        <v>0</v>
      </c>
      <c r="CM686">
        <v>2</v>
      </c>
      <c r="CN686">
        <v>0</v>
      </c>
      <c r="CO686">
        <v>6</v>
      </c>
      <c r="CP686" t="s">
        <v>119</v>
      </c>
      <c r="CQ686">
        <v>209</v>
      </c>
      <c r="CR686">
        <v>3</v>
      </c>
      <c r="CW686">
        <v>7215289</v>
      </c>
      <c r="CY686">
        <v>1</v>
      </c>
      <c r="CZ686">
        <v>0</v>
      </c>
      <c r="DA686">
        <v>1</v>
      </c>
      <c r="DB686">
        <v>0</v>
      </c>
      <c r="DC686">
        <v>0</v>
      </c>
      <c r="DD686">
        <v>1</v>
      </c>
      <c r="DE686">
        <v>0</v>
      </c>
      <c r="DF686">
        <v>0</v>
      </c>
      <c r="DG686">
        <v>0</v>
      </c>
      <c r="DH686">
        <v>0</v>
      </c>
      <c r="DI686">
        <v>0</v>
      </c>
    </row>
    <row r="687" spans="1:113" x14ac:dyDescent="0.3">
      <c r="A687" t="str">
        <f>"09/28/2021 13:56:13.541"</f>
        <v>09/28/2021 13:56:13.541</v>
      </c>
      <c r="C687" t="str">
        <f t="shared" si="35"/>
        <v>FFDFD3C0</v>
      </c>
      <c r="D687" t="s">
        <v>113</v>
      </c>
      <c r="E687">
        <v>7</v>
      </c>
      <c r="H687">
        <v>170</v>
      </c>
      <c r="I687" t="s">
        <v>114</v>
      </c>
      <c r="J687" t="s">
        <v>115</v>
      </c>
      <c r="K687">
        <v>0</v>
      </c>
      <c r="L687">
        <v>3</v>
      </c>
      <c r="M687">
        <v>0</v>
      </c>
      <c r="N687">
        <v>2</v>
      </c>
      <c r="O687">
        <v>1</v>
      </c>
      <c r="P687">
        <v>0</v>
      </c>
      <c r="Q687">
        <v>0</v>
      </c>
      <c r="S687" t="str">
        <f>"13:56:13.211"</f>
        <v>13:56:13.211</v>
      </c>
      <c r="T687" t="str">
        <f>"13:56:12.811"</f>
        <v>13:56:12.811</v>
      </c>
      <c r="U687" t="str">
        <f t="shared" si="34"/>
        <v>A92BC1</v>
      </c>
      <c r="V687">
        <v>0</v>
      </c>
      <c r="W687">
        <v>0</v>
      </c>
      <c r="X687">
        <v>2</v>
      </c>
      <c r="Z687">
        <v>0</v>
      </c>
      <c r="AA687">
        <v>9</v>
      </c>
      <c r="AB687">
        <v>3</v>
      </c>
      <c r="AC687">
        <v>0</v>
      </c>
      <c r="AD687">
        <v>10</v>
      </c>
      <c r="AE687">
        <v>0</v>
      </c>
      <c r="AF687">
        <v>3</v>
      </c>
      <c r="AG687">
        <v>2</v>
      </c>
      <c r="AH687">
        <v>0</v>
      </c>
      <c r="AI687" t="s">
        <v>788</v>
      </c>
      <c r="AJ687">
        <v>45.793804999999999</v>
      </c>
      <c r="AK687" t="s">
        <v>789</v>
      </c>
      <c r="AL687">
        <v>-89.271555000000006</v>
      </c>
      <c r="AM687">
        <v>100</v>
      </c>
      <c r="AN687">
        <v>12400</v>
      </c>
      <c r="AO687" t="s">
        <v>118</v>
      </c>
      <c r="AP687">
        <v>151</v>
      </c>
      <c r="AQ687">
        <v>107</v>
      </c>
      <c r="AR687">
        <v>1280</v>
      </c>
      <c r="AZ687">
        <v>1200</v>
      </c>
      <c r="BA687">
        <v>1</v>
      </c>
      <c r="BB687" t="str">
        <f t="shared" si="36"/>
        <v xml:space="preserve">N690LS  </v>
      </c>
      <c r="BC687">
        <v>1</v>
      </c>
      <c r="BE687">
        <v>0</v>
      </c>
      <c r="BF687">
        <v>0</v>
      </c>
      <c r="BG687">
        <v>0</v>
      </c>
      <c r="BH687">
        <v>12825</v>
      </c>
      <c r="BI687">
        <v>1</v>
      </c>
      <c r="BJ687">
        <v>1</v>
      </c>
      <c r="BK687">
        <v>1</v>
      </c>
      <c r="BL687">
        <v>0</v>
      </c>
      <c r="BO687">
        <v>0</v>
      </c>
      <c r="BP687">
        <v>0</v>
      </c>
      <c r="BW687" t="str">
        <f>"13:56:13.216"</f>
        <v>13:56:13.216</v>
      </c>
      <c r="CJ687">
        <v>0</v>
      </c>
      <c r="CK687">
        <v>2</v>
      </c>
      <c r="CL687">
        <v>0</v>
      </c>
      <c r="CM687">
        <v>2</v>
      </c>
      <c r="CN687">
        <v>0</v>
      </c>
      <c r="CO687">
        <v>6</v>
      </c>
      <c r="CP687" t="s">
        <v>119</v>
      </c>
      <c r="CQ687">
        <v>209</v>
      </c>
      <c r="CR687">
        <v>3</v>
      </c>
      <c r="CW687">
        <v>7215619</v>
      </c>
      <c r="CY687">
        <v>1</v>
      </c>
      <c r="CZ687">
        <v>0</v>
      </c>
      <c r="DA687">
        <v>0</v>
      </c>
      <c r="DB687">
        <v>0</v>
      </c>
      <c r="DC687">
        <v>0</v>
      </c>
      <c r="DD687">
        <v>1</v>
      </c>
      <c r="DE687">
        <v>0</v>
      </c>
      <c r="DF687">
        <v>0</v>
      </c>
      <c r="DG687">
        <v>0</v>
      </c>
      <c r="DH687">
        <v>0</v>
      </c>
      <c r="DI687">
        <v>0</v>
      </c>
    </row>
    <row r="688" spans="1:113" x14ac:dyDescent="0.3">
      <c r="A688" t="str">
        <f>"09/28/2021 13:56:13.541"</f>
        <v>09/28/2021 13:56:13.541</v>
      </c>
      <c r="C688" t="str">
        <f t="shared" si="35"/>
        <v>FFDFD3C0</v>
      </c>
      <c r="D688" t="s">
        <v>120</v>
      </c>
      <c r="E688">
        <v>12</v>
      </c>
      <c r="F688">
        <v>1012</v>
      </c>
      <c r="G688" t="s">
        <v>114</v>
      </c>
      <c r="J688" t="s">
        <v>121</v>
      </c>
      <c r="K688">
        <v>0</v>
      </c>
      <c r="L688">
        <v>3</v>
      </c>
      <c r="M688">
        <v>0</v>
      </c>
      <c r="N688">
        <v>2</v>
      </c>
      <c r="O688">
        <v>1</v>
      </c>
      <c r="P688">
        <v>0</v>
      </c>
      <c r="Q688">
        <v>0</v>
      </c>
      <c r="S688" t="str">
        <f>"13:56:13.211"</f>
        <v>13:56:13.211</v>
      </c>
      <c r="T688" t="str">
        <f>"13:56:12.911"</f>
        <v>13:56:12.911</v>
      </c>
      <c r="U688" t="str">
        <f t="shared" si="34"/>
        <v>A92BC1</v>
      </c>
      <c r="V688">
        <v>0</v>
      </c>
      <c r="W688">
        <v>0</v>
      </c>
      <c r="X688">
        <v>2</v>
      </c>
      <c r="Z688">
        <v>0</v>
      </c>
      <c r="AA688">
        <v>9</v>
      </c>
      <c r="AB688">
        <v>3</v>
      </c>
      <c r="AC688">
        <v>0</v>
      </c>
      <c r="AD688">
        <v>10</v>
      </c>
      <c r="AE688">
        <v>0</v>
      </c>
      <c r="AF688">
        <v>3</v>
      </c>
      <c r="AG688">
        <v>2</v>
      </c>
      <c r="AH688">
        <v>0</v>
      </c>
      <c r="AI688" t="s">
        <v>788</v>
      </c>
      <c r="AJ688">
        <v>45.793804999999999</v>
      </c>
      <c r="AK688" t="s">
        <v>789</v>
      </c>
      <c r="AL688">
        <v>-89.271555000000006</v>
      </c>
      <c r="AM688">
        <v>100</v>
      </c>
      <c r="AN688">
        <v>12400</v>
      </c>
      <c r="AO688" t="s">
        <v>118</v>
      </c>
      <c r="AP688">
        <v>151</v>
      </c>
      <c r="AQ688">
        <v>107</v>
      </c>
      <c r="AR688">
        <v>1280</v>
      </c>
      <c r="AZ688">
        <v>1200</v>
      </c>
      <c r="BA688">
        <v>1</v>
      </c>
      <c r="BB688" t="str">
        <f t="shared" si="36"/>
        <v xml:space="preserve">N690LS  </v>
      </c>
      <c r="BC688">
        <v>1</v>
      </c>
      <c r="BE688">
        <v>0</v>
      </c>
      <c r="BF688">
        <v>0</v>
      </c>
      <c r="BG688">
        <v>0</v>
      </c>
      <c r="BH688">
        <v>12825</v>
      </c>
      <c r="BI688">
        <v>1</v>
      </c>
      <c r="BJ688">
        <v>1</v>
      </c>
      <c r="BK688">
        <v>1</v>
      </c>
      <c r="BL688">
        <v>0</v>
      </c>
      <c r="BO688">
        <v>0</v>
      </c>
      <c r="BP688">
        <v>0</v>
      </c>
      <c r="BW688" t="str">
        <f>"13:56:13.217"</f>
        <v>13:56:13.217</v>
      </c>
      <c r="CJ688">
        <v>0</v>
      </c>
      <c r="CK688">
        <v>2</v>
      </c>
      <c r="CL688">
        <v>0</v>
      </c>
      <c r="CM688">
        <v>2</v>
      </c>
      <c r="CN688">
        <v>0</v>
      </c>
      <c r="CO688">
        <v>2</v>
      </c>
      <c r="CP688" t="s">
        <v>119</v>
      </c>
      <c r="CQ688">
        <v>552</v>
      </c>
      <c r="CR688">
        <v>1</v>
      </c>
      <c r="CW688">
        <v>16124482</v>
      </c>
      <c r="CY688">
        <v>1</v>
      </c>
      <c r="CZ688">
        <v>0</v>
      </c>
      <c r="DA688">
        <v>1</v>
      </c>
      <c r="DB688">
        <v>0</v>
      </c>
      <c r="DC688">
        <v>0</v>
      </c>
      <c r="DD688">
        <v>1</v>
      </c>
      <c r="DE688">
        <v>0</v>
      </c>
      <c r="DF688">
        <v>0</v>
      </c>
      <c r="DG688">
        <v>0</v>
      </c>
      <c r="DH688">
        <v>0</v>
      </c>
      <c r="DI688">
        <v>0</v>
      </c>
    </row>
    <row r="689" spans="1:113" x14ac:dyDescent="0.3">
      <c r="A689" t="str">
        <f>"09/28/2021 13:56:14.324"</f>
        <v>09/28/2021 13:56:14.324</v>
      </c>
      <c r="C689" t="str">
        <f t="shared" si="35"/>
        <v>FFDFD3C0</v>
      </c>
      <c r="D689" t="s">
        <v>113</v>
      </c>
      <c r="E689">
        <v>7</v>
      </c>
      <c r="H689">
        <v>170</v>
      </c>
      <c r="I689" t="s">
        <v>114</v>
      </c>
      <c r="J689" t="s">
        <v>115</v>
      </c>
      <c r="K689">
        <v>0</v>
      </c>
      <c r="L689">
        <v>3</v>
      </c>
      <c r="M689">
        <v>0</v>
      </c>
      <c r="N689">
        <v>2</v>
      </c>
      <c r="O689">
        <v>1</v>
      </c>
      <c r="P689">
        <v>0</v>
      </c>
      <c r="Q689">
        <v>0</v>
      </c>
      <c r="S689" t="str">
        <f>"13:56:14.086"</f>
        <v>13:56:14.086</v>
      </c>
      <c r="T689" t="str">
        <f>"13:56:13.686"</f>
        <v>13:56:13.686</v>
      </c>
      <c r="U689" t="str">
        <f t="shared" si="34"/>
        <v>A92BC1</v>
      </c>
      <c r="V689">
        <v>0</v>
      </c>
      <c r="W689">
        <v>0</v>
      </c>
      <c r="X689">
        <v>2</v>
      </c>
      <c r="Z689">
        <v>0</v>
      </c>
      <c r="AA689">
        <v>9</v>
      </c>
      <c r="AB689">
        <v>3</v>
      </c>
      <c r="AC689">
        <v>0</v>
      </c>
      <c r="AD689">
        <v>10</v>
      </c>
      <c r="AE689">
        <v>0</v>
      </c>
      <c r="AF689">
        <v>3</v>
      </c>
      <c r="AG689">
        <v>2</v>
      </c>
      <c r="AH689">
        <v>0</v>
      </c>
      <c r="AI689" t="s">
        <v>790</v>
      </c>
      <c r="AJ689">
        <v>45.794234000000003</v>
      </c>
      <c r="AK689" t="s">
        <v>791</v>
      </c>
      <c r="AL689">
        <v>-89.270653999999993</v>
      </c>
      <c r="AM689">
        <v>100</v>
      </c>
      <c r="AN689">
        <v>12500</v>
      </c>
      <c r="AO689" t="s">
        <v>118</v>
      </c>
      <c r="AP689">
        <v>151</v>
      </c>
      <c r="AQ689">
        <v>107</v>
      </c>
      <c r="AR689">
        <v>1280</v>
      </c>
      <c r="AZ689">
        <v>1200</v>
      </c>
      <c r="BA689">
        <v>1</v>
      </c>
      <c r="BB689" t="str">
        <f t="shared" si="36"/>
        <v xml:space="preserve">N690LS  </v>
      </c>
      <c r="BC689">
        <v>1</v>
      </c>
      <c r="BE689">
        <v>0</v>
      </c>
      <c r="BF689">
        <v>0</v>
      </c>
      <c r="BG689">
        <v>0</v>
      </c>
      <c r="BH689">
        <v>12850</v>
      </c>
      <c r="BI689">
        <v>1</v>
      </c>
      <c r="BJ689">
        <v>1</v>
      </c>
      <c r="BK689">
        <v>1</v>
      </c>
      <c r="BL689">
        <v>0</v>
      </c>
      <c r="BO689">
        <v>0</v>
      </c>
      <c r="BP689">
        <v>0</v>
      </c>
      <c r="BW689" t="str">
        <f>"13:56:14.089"</f>
        <v>13:56:14.089</v>
      </c>
      <c r="CJ689">
        <v>0</v>
      </c>
      <c r="CK689">
        <v>2</v>
      </c>
      <c r="CL689">
        <v>0</v>
      </c>
      <c r="CM689">
        <v>2</v>
      </c>
      <c r="CN689">
        <v>0</v>
      </c>
      <c r="CO689">
        <v>7</v>
      </c>
      <c r="CP689" t="s">
        <v>119</v>
      </c>
      <c r="CQ689">
        <v>197</v>
      </c>
      <c r="CR689">
        <v>0</v>
      </c>
      <c r="CW689">
        <v>16037535</v>
      </c>
      <c r="CY689">
        <v>1</v>
      </c>
      <c r="CZ689">
        <v>0</v>
      </c>
      <c r="DA689">
        <v>0</v>
      </c>
      <c r="DB689">
        <v>0</v>
      </c>
      <c r="DC689">
        <v>0</v>
      </c>
      <c r="DD689">
        <v>1</v>
      </c>
      <c r="DE689">
        <v>0</v>
      </c>
      <c r="DF689">
        <v>0</v>
      </c>
      <c r="DG689">
        <v>0</v>
      </c>
      <c r="DH689">
        <v>0</v>
      </c>
      <c r="DI689">
        <v>0</v>
      </c>
    </row>
    <row r="690" spans="1:113" x14ac:dyDescent="0.3">
      <c r="A690" t="str">
        <f>"09/28/2021 13:56:14.324"</f>
        <v>09/28/2021 13:56:14.324</v>
      </c>
      <c r="C690" t="str">
        <f t="shared" si="35"/>
        <v>FFDFD3C0</v>
      </c>
      <c r="D690" t="s">
        <v>120</v>
      </c>
      <c r="E690">
        <v>12</v>
      </c>
      <c r="F690">
        <v>1012</v>
      </c>
      <c r="G690" t="s">
        <v>114</v>
      </c>
      <c r="J690" t="s">
        <v>121</v>
      </c>
      <c r="K690">
        <v>0</v>
      </c>
      <c r="L690">
        <v>3</v>
      </c>
      <c r="M690">
        <v>0</v>
      </c>
      <c r="N690">
        <v>2</v>
      </c>
      <c r="O690">
        <v>1</v>
      </c>
      <c r="P690">
        <v>0</v>
      </c>
      <c r="Q690">
        <v>0</v>
      </c>
      <c r="S690" t="str">
        <f>"13:56:14.086"</f>
        <v>13:56:14.086</v>
      </c>
      <c r="T690" t="str">
        <f>"13:56:13.686"</f>
        <v>13:56:13.686</v>
      </c>
      <c r="U690" t="str">
        <f t="shared" si="34"/>
        <v>A92BC1</v>
      </c>
      <c r="V690">
        <v>0</v>
      </c>
      <c r="W690">
        <v>0</v>
      </c>
      <c r="X690">
        <v>2</v>
      </c>
      <c r="Z690">
        <v>0</v>
      </c>
      <c r="AA690">
        <v>9</v>
      </c>
      <c r="AB690">
        <v>3</v>
      </c>
      <c r="AC690">
        <v>0</v>
      </c>
      <c r="AD690">
        <v>10</v>
      </c>
      <c r="AE690">
        <v>0</v>
      </c>
      <c r="AF690">
        <v>3</v>
      </c>
      <c r="AG690">
        <v>2</v>
      </c>
      <c r="AH690">
        <v>0</v>
      </c>
      <c r="AI690" t="s">
        <v>790</v>
      </c>
      <c r="AJ690">
        <v>45.794234000000003</v>
      </c>
      <c r="AK690" t="s">
        <v>791</v>
      </c>
      <c r="AL690">
        <v>-89.270653999999993</v>
      </c>
      <c r="AM690">
        <v>100</v>
      </c>
      <c r="AN690">
        <v>12500</v>
      </c>
      <c r="AO690" t="s">
        <v>118</v>
      </c>
      <c r="AP690">
        <v>151</v>
      </c>
      <c r="AQ690">
        <v>107</v>
      </c>
      <c r="AR690">
        <v>1280</v>
      </c>
      <c r="AZ690">
        <v>1200</v>
      </c>
      <c r="BA690">
        <v>1</v>
      </c>
      <c r="BB690" t="str">
        <f t="shared" si="36"/>
        <v xml:space="preserve">N690LS  </v>
      </c>
      <c r="BC690">
        <v>1</v>
      </c>
      <c r="BE690">
        <v>0</v>
      </c>
      <c r="BF690">
        <v>0</v>
      </c>
      <c r="BG690">
        <v>0</v>
      </c>
      <c r="BH690">
        <v>12850</v>
      </c>
      <c r="BI690">
        <v>1</v>
      </c>
      <c r="BJ690">
        <v>1</v>
      </c>
      <c r="BK690">
        <v>1</v>
      </c>
      <c r="BL690">
        <v>0</v>
      </c>
      <c r="BO690">
        <v>0</v>
      </c>
      <c r="BP690">
        <v>0</v>
      </c>
      <c r="BW690" t="str">
        <f>"13:56:14.089"</f>
        <v>13:56:14.089</v>
      </c>
      <c r="CJ690">
        <v>0</v>
      </c>
      <c r="CK690">
        <v>2</v>
      </c>
      <c r="CL690">
        <v>0</v>
      </c>
      <c r="CM690">
        <v>2</v>
      </c>
      <c r="CN690">
        <v>0</v>
      </c>
      <c r="CO690">
        <v>7</v>
      </c>
      <c r="CP690" t="s">
        <v>119</v>
      </c>
      <c r="CQ690">
        <v>197</v>
      </c>
      <c r="CR690">
        <v>0</v>
      </c>
      <c r="CW690">
        <v>16037535</v>
      </c>
      <c r="CY690">
        <v>1</v>
      </c>
      <c r="CZ690">
        <v>0</v>
      </c>
      <c r="DA690">
        <v>1</v>
      </c>
      <c r="DB690">
        <v>0</v>
      </c>
      <c r="DC690">
        <v>0</v>
      </c>
      <c r="DD690">
        <v>1</v>
      </c>
      <c r="DE690">
        <v>0</v>
      </c>
      <c r="DF690">
        <v>0</v>
      </c>
      <c r="DG690">
        <v>0</v>
      </c>
      <c r="DH690">
        <v>0</v>
      </c>
      <c r="DI690">
        <v>0</v>
      </c>
    </row>
    <row r="691" spans="1:113" x14ac:dyDescent="0.3">
      <c r="A691" t="str">
        <f>"09/28/2021 13:56:15.339"</f>
        <v>09/28/2021 13:56:15.339</v>
      </c>
      <c r="C691" t="str">
        <f t="shared" si="35"/>
        <v>FFDFD3C0</v>
      </c>
      <c r="D691" t="s">
        <v>113</v>
      </c>
      <c r="E691">
        <v>7</v>
      </c>
      <c r="H691">
        <v>170</v>
      </c>
      <c r="I691" t="s">
        <v>114</v>
      </c>
      <c r="J691" t="s">
        <v>115</v>
      </c>
      <c r="K691">
        <v>0</v>
      </c>
      <c r="L691">
        <v>3</v>
      </c>
      <c r="M691">
        <v>0</v>
      </c>
      <c r="N691">
        <v>2</v>
      </c>
      <c r="O691">
        <v>1</v>
      </c>
      <c r="P691">
        <v>0</v>
      </c>
      <c r="Q691">
        <v>0</v>
      </c>
      <c r="S691" t="str">
        <f>"13:56:15.148"</f>
        <v>13:56:15.148</v>
      </c>
      <c r="T691" t="str">
        <f>"13:56:14.648"</f>
        <v>13:56:14.648</v>
      </c>
      <c r="U691" t="str">
        <f t="shared" si="34"/>
        <v>A92BC1</v>
      </c>
      <c r="V691">
        <v>0</v>
      </c>
      <c r="W691">
        <v>0</v>
      </c>
      <c r="X691">
        <v>2</v>
      </c>
      <c r="Z691">
        <v>0</v>
      </c>
      <c r="AA691">
        <v>9</v>
      </c>
      <c r="AB691">
        <v>3</v>
      </c>
      <c r="AC691">
        <v>0</v>
      </c>
      <c r="AD691">
        <v>10</v>
      </c>
      <c r="AE691">
        <v>0</v>
      </c>
      <c r="AF691">
        <v>3</v>
      </c>
      <c r="AG691">
        <v>2</v>
      </c>
      <c r="AH691">
        <v>0</v>
      </c>
      <c r="AI691" t="s">
        <v>792</v>
      </c>
      <c r="AJ691">
        <v>45.794770999999997</v>
      </c>
      <c r="AK691" t="s">
        <v>793</v>
      </c>
      <c r="AL691">
        <v>-89.269537999999997</v>
      </c>
      <c r="AM691">
        <v>100</v>
      </c>
      <c r="AN691">
        <v>12500</v>
      </c>
      <c r="AO691" t="s">
        <v>118</v>
      </c>
      <c r="AP691">
        <v>151</v>
      </c>
      <c r="AQ691">
        <v>107</v>
      </c>
      <c r="AR691">
        <v>1280</v>
      </c>
      <c r="AZ691">
        <v>1200</v>
      </c>
      <c r="BA691">
        <v>1</v>
      </c>
      <c r="BB691" t="str">
        <f t="shared" si="36"/>
        <v xml:space="preserve">N690LS  </v>
      </c>
      <c r="BC691">
        <v>1</v>
      </c>
      <c r="BE691">
        <v>0</v>
      </c>
      <c r="BF691">
        <v>0</v>
      </c>
      <c r="BG691">
        <v>0</v>
      </c>
      <c r="BH691">
        <v>12875</v>
      </c>
      <c r="BI691">
        <v>1</v>
      </c>
      <c r="BJ691">
        <v>1</v>
      </c>
      <c r="BK691">
        <v>1</v>
      </c>
      <c r="BL691">
        <v>0</v>
      </c>
      <c r="BO691">
        <v>0</v>
      </c>
      <c r="BP691">
        <v>0</v>
      </c>
      <c r="BW691" t="str">
        <f>"13:56:15.156"</f>
        <v>13:56:15.156</v>
      </c>
      <c r="CJ691">
        <v>0</v>
      </c>
      <c r="CK691">
        <v>2</v>
      </c>
      <c r="CL691">
        <v>0</v>
      </c>
      <c r="CM691">
        <v>2</v>
      </c>
      <c r="CN691">
        <v>0</v>
      </c>
      <c r="CO691">
        <v>6</v>
      </c>
      <c r="CP691" t="s">
        <v>119</v>
      </c>
      <c r="CQ691">
        <v>209</v>
      </c>
      <c r="CR691">
        <v>3</v>
      </c>
      <c r="CW691">
        <v>7216200</v>
      </c>
      <c r="CY691">
        <v>1</v>
      </c>
      <c r="CZ691">
        <v>0</v>
      </c>
      <c r="DA691">
        <v>0</v>
      </c>
      <c r="DB691">
        <v>0</v>
      </c>
      <c r="DC691">
        <v>0</v>
      </c>
      <c r="DD691">
        <v>1</v>
      </c>
      <c r="DE691">
        <v>0</v>
      </c>
      <c r="DF691">
        <v>0</v>
      </c>
      <c r="DG691">
        <v>0</v>
      </c>
      <c r="DH691">
        <v>0</v>
      </c>
      <c r="DI691">
        <v>0</v>
      </c>
    </row>
    <row r="692" spans="1:113" x14ac:dyDescent="0.3">
      <c r="A692" t="str">
        <f>"09/28/2021 13:56:15.339"</f>
        <v>09/28/2021 13:56:15.339</v>
      </c>
      <c r="C692" t="str">
        <f t="shared" si="35"/>
        <v>FFDFD3C0</v>
      </c>
      <c r="D692" t="s">
        <v>120</v>
      </c>
      <c r="E692">
        <v>12</v>
      </c>
      <c r="F692">
        <v>1012</v>
      </c>
      <c r="G692" t="s">
        <v>114</v>
      </c>
      <c r="J692" t="s">
        <v>121</v>
      </c>
      <c r="K692">
        <v>0</v>
      </c>
      <c r="L692">
        <v>3</v>
      </c>
      <c r="M692">
        <v>0</v>
      </c>
      <c r="N692">
        <v>2</v>
      </c>
      <c r="O692">
        <v>1</v>
      </c>
      <c r="P692">
        <v>0</v>
      </c>
      <c r="Q692">
        <v>0</v>
      </c>
      <c r="S692" t="str">
        <f>"13:56:15.148"</f>
        <v>13:56:15.148</v>
      </c>
      <c r="T692" t="str">
        <f>"13:56:14.648"</f>
        <v>13:56:14.648</v>
      </c>
      <c r="U692" t="str">
        <f t="shared" si="34"/>
        <v>A92BC1</v>
      </c>
      <c r="V692">
        <v>0</v>
      </c>
      <c r="W692">
        <v>0</v>
      </c>
      <c r="X692">
        <v>2</v>
      </c>
      <c r="Z692">
        <v>0</v>
      </c>
      <c r="AA692">
        <v>9</v>
      </c>
      <c r="AB692">
        <v>3</v>
      </c>
      <c r="AC692">
        <v>0</v>
      </c>
      <c r="AD692">
        <v>10</v>
      </c>
      <c r="AE692">
        <v>0</v>
      </c>
      <c r="AF692">
        <v>3</v>
      </c>
      <c r="AG692">
        <v>2</v>
      </c>
      <c r="AH692">
        <v>0</v>
      </c>
      <c r="AI692" t="s">
        <v>792</v>
      </c>
      <c r="AJ692">
        <v>45.794770999999997</v>
      </c>
      <c r="AK692" t="s">
        <v>793</v>
      </c>
      <c r="AL692">
        <v>-89.269537999999997</v>
      </c>
      <c r="AM692">
        <v>100</v>
      </c>
      <c r="AN692">
        <v>12500</v>
      </c>
      <c r="AO692" t="s">
        <v>118</v>
      </c>
      <c r="AP692">
        <v>151</v>
      </c>
      <c r="AQ692">
        <v>107</v>
      </c>
      <c r="AR692">
        <v>1280</v>
      </c>
      <c r="AZ692">
        <v>1200</v>
      </c>
      <c r="BA692">
        <v>1</v>
      </c>
      <c r="BB692" t="str">
        <f t="shared" si="36"/>
        <v xml:space="preserve">N690LS  </v>
      </c>
      <c r="BC692">
        <v>1</v>
      </c>
      <c r="BE692">
        <v>0</v>
      </c>
      <c r="BF692">
        <v>0</v>
      </c>
      <c r="BG692">
        <v>0</v>
      </c>
      <c r="BH692">
        <v>12875</v>
      </c>
      <c r="BI692">
        <v>1</v>
      </c>
      <c r="BJ692">
        <v>1</v>
      </c>
      <c r="BK692">
        <v>1</v>
      </c>
      <c r="BL692">
        <v>0</v>
      </c>
      <c r="BO692">
        <v>0</v>
      </c>
      <c r="BP692">
        <v>0</v>
      </c>
      <c r="BW692" t="str">
        <f>"13:56:15.156"</f>
        <v>13:56:15.156</v>
      </c>
      <c r="CJ692">
        <v>0</v>
      </c>
      <c r="CK692">
        <v>2</v>
      </c>
      <c r="CL692">
        <v>0</v>
      </c>
      <c r="CM692">
        <v>2</v>
      </c>
      <c r="CN692">
        <v>0</v>
      </c>
      <c r="CO692">
        <v>6</v>
      </c>
      <c r="CP692" t="s">
        <v>119</v>
      </c>
      <c r="CQ692">
        <v>209</v>
      </c>
      <c r="CR692">
        <v>3</v>
      </c>
      <c r="CW692">
        <v>7216200</v>
      </c>
      <c r="CY692">
        <v>1</v>
      </c>
      <c r="CZ692">
        <v>0</v>
      </c>
      <c r="DA692">
        <v>1</v>
      </c>
      <c r="DB692">
        <v>0</v>
      </c>
      <c r="DC692">
        <v>0</v>
      </c>
      <c r="DD692">
        <v>1</v>
      </c>
      <c r="DE692">
        <v>0</v>
      </c>
      <c r="DF692">
        <v>0</v>
      </c>
      <c r="DG692">
        <v>0</v>
      </c>
      <c r="DH692">
        <v>0</v>
      </c>
      <c r="DI692">
        <v>0</v>
      </c>
    </row>
    <row r="693" spans="1:113" x14ac:dyDescent="0.3">
      <c r="A693" t="str">
        <f>"09/28/2021 13:56:16.324"</f>
        <v>09/28/2021 13:56:16.324</v>
      </c>
      <c r="C693" t="str">
        <f t="shared" si="35"/>
        <v>FFDFD3C0</v>
      </c>
      <c r="D693" t="s">
        <v>120</v>
      </c>
      <c r="E693">
        <v>12</v>
      </c>
      <c r="F693">
        <v>1012</v>
      </c>
      <c r="G693" t="s">
        <v>114</v>
      </c>
      <c r="J693" t="s">
        <v>121</v>
      </c>
      <c r="K693">
        <v>0</v>
      </c>
      <c r="L693">
        <v>3</v>
      </c>
      <c r="M693">
        <v>0</v>
      </c>
      <c r="N693">
        <v>2</v>
      </c>
      <c r="O693">
        <v>1</v>
      </c>
      <c r="P693">
        <v>0</v>
      </c>
      <c r="Q693">
        <v>0</v>
      </c>
      <c r="S693" t="str">
        <f>"13:56:16.133"</f>
        <v>13:56:16.133</v>
      </c>
      <c r="T693" t="str">
        <f>"13:56:15.733"</f>
        <v>13:56:15.733</v>
      </c>
      <c r="U693" t="str">
        <f t="shared" si="34"/>
        <v>A92BC1</v>
      </c>
      <c r="V693">
        <v>0</v>
      </c>
      <c r="W693">
        <v>0</v>
      </c>
      <c r="X693">
        <v>2</v>
      </c>
      <c r="Z693">
        <v>0</v>
      </c>
      <c r="AA693">
        <v>9</v>
      </c>
      <c r="AB693">
        <v>3</v>
      </c>
      <c r="AC693">
        <v>0</v>
      </c>
      <c r="AD693">
        <v>10</v>
      </c>
      <c r="AE693">
        <v>0</v>
      </c>
      <c r="AF693">
        <v>3</v>
      </c>
      <c r="AG693">
        <v>2</v>
      </c>
      <c r="AH693">
        <v>0</v>
      </c>
      <c r="AI693" t="s">
        <v>794</v>
      </c>
      <c r="AJ693">
        <v>45.795264000000003</v>
      </c>
      <c r="AK693" t="s">
        <v>795</v>
      </c>
      <c r="AL693">
        <v>-89.268529000000001</v>
      </c>
      <c r="AM693">
        <v>100</v>
      </c>
      <c r="AN693">
        <v>12500</v>
      </c>
      <c r="AO693" t="s">
        <v>118</v>
      </c>
      <c r="AP693">
        <v>152</v>
      </c>
      <c r="AQ693">
        <v>108</v>
      </c>
      <c r="AR693">
        <v>1280</v>
      </c>
      <c r="AZ693">
        <v>1200</v>
      </c>
      <c r="BA693">
        <v>1</v>
      </c>
      <c r="BB693" t="str">
        <f t="shared" si="36"/>
        <v xml:space="preserve">N690LS  </v>
      </c>
      <c r="BC693">
        <v>1</v>
      </c>
      <c r="BE693">
        <v>0</v>
      </c>
      <c r="BF693">
        <v>0</v>
      </c>
      <c r="BG693">
        <v>0</v>
      </c>
      <c r="BH693">
        <v>12900</v>
      </c>
      <c r="BI693">
        <v>1</v>
      </c>
      <c r="BJ693">
        <v>1</v>
      </c>
      <c r="BK693">
        <v>1</v>
      </c>
      <c r="BL693">
        <v>0</v>
      </c>
      <c r="BO693">
        <v>0</v>
      </c>
      <c r="BP693">
        <v>0</v>
      </c>
      <c r="BW693" t="str">
        <f>"13:56:16.135"</f>
        <v>13:56:16.135</v>
      </c>
      <c r="CJ693">
        <v>0</v>
      </c>
      <c r="CK693">
        <v>2</v>
      </c>
      <c r="CL693">
        <v>0</v>
      </c>
      <c r="CM693">
        <v>2</v>
      </c>
      <c r="CN693">
        <v>0</v>
      </c>
      <c r="CO693">
        <v>6</v>
      </c>
      <c r="CP693" t="s">
        <v>119</v>
      </c>
      <c r="CQ693">
        <v>209</v>
      </c>
      <c r="CR693">
        <v>3</v>
      </c>
      <c r="CW693">
        <v>7216498</v>
      </c>
      <c r="CY693">
        <v>1</v>
      </c>
      <c r="CZ693">
        <v>0</v>
      </c>
      <c r="DA693">
        <v>0</v>
      </c>
      <c r="DB693">
        <v>0</v>
      </c>
      <c r="DC693">
        <v>0</v>
      </c>
      <c r="DD693">
        <v>1</v>
      </c>
      <c r="DE693">
        <v>0</v>
      </c>
      <c r="DF693">
        <v>0</v>
      </c>
      <c r="DG693">
        <v>0</v>
      </c>
      <c r="DH693">
        <v>0</v>
      </c>
      <c r="DI693">
        <v>0</v>
      </c>
    </row>
    <row r="694" spans="1:113" x14ac:dyDescent="0.3">
      <c r="A694" t="str">
        <f>"09/28/2021 13:56:16.324"</f>
        <v>09/28/2021 13:56:16.324</v>
      </c>
      <c r="C694" t="str">
        <f t="shared" si="35"/>
        <v>FFDFD3C0</v>
      </c>
      <c r="D694" t="s">
        <v>113</v>
      </c>
      <c r="E694">
        <v>7</v>
      </c>
      <c r="H694">
        <v>170</v>
      </c>
      <c r="I694" t="s">
        <v>114</v>
      </c>
      <c r="J694" t="s">
        <v>115</v>
      </c>
      <c r="K694">
        <v>0</v>
      </c>
      <c r="L694">
        <v>3</v>
      </c>
      <c r="M694">
        <v>0</v>
      </c>
      <c r="N694">
        <v>2</v>
      </c>
      <c r="O694">
        <v>1</v>
      </c>
      <c r="P694">
        <v>0</v>
      </c>
      <c r="Q694">
        <v>0</v>
      </c>
      <c r="S694" t="str">
        <f>"13:56:16.133"</f>
        <v>13:56:16.133</v>
      </c>
      <c r="T694" t="str">
        <f>"13:56:15.733"</f>
        <v>13:56:15.733</v>
      </c>
      <c r="U694" t="str">
        <f t="shared" si="34"/>
        <v>A92BC1</v>
      </c>
      <c r="V694">
        <v>0</v>
      </c>
      <c r="W694">
        <v>0</v>
      </c>
      <c r="X694">
        <v>2</v>
      </c>
      <c r="Z694">
        <v>0</v>
      </c>
      <c r="AA694">
        <v>9</v>
      </c>
      <c r="AB694">
        <v>3</v>
      </c>
      <c r="AC694">
        <v>0</v>
      </c>
      <c r="AD694">
        <v>10</v>
      </c>
      <c r="AE694">
        <v>0</v>
      </c>
      <c r="AF694">
        <v>3</v>
      </c>
      <c r="AG694">
        <v>2</v>
      </c>
      <c r="AH694">
        <v>0</v>
      </c>
      <c r="AI694" t="s">
        <v>794</v>
      </c>
      <c r="AJ694">
        <v>45.795264000000003</v>
      </c>
      <c r="AK694" t="s">
        <v>795</v>
      </c>
      <c r="AL694">
        <v>-89.268529000000001</v>
      </c>
      <c r="AM694">
        <v>100</v>
      </c>
      <c r="AN694">
        <v>12500</v>
      </c>
      <c r="AO694" t="s">
        <v>118</v>
      </c>
      <c r="AP694">
        <v>152</v>
      </c>
      <c r="AQ694">
        <v>108</v>
      </c>
      <c r="AR694">
        <v>1280</v>
      </c>
      <c r="AZ694">
        <v>1200</v>
      </c>
      <c r="BA694">
        <v>1</v>
      </c>
      <c r="BB694" t="str">
        <f t="shared" si="36"/>
        <v xml:space="preserve">N690LS  </v>
      </c>
      <c r="BC694">
        <v>1</v>
      </c>
      <c r="BE694">
        <v>0</v>
      </c>
      <c r="BF694">
        <v>0</v>
      </c>
      <c r="BG694">
        <v>0</v>
      </c>
      <c r="BH694">
        <v>12900</v>
      </c>
      <c r="BI694">
        <v>1</v>
      </c>
      <c r="BJ694">
        <v>1</v>
      </c>
      <c r="BK694">
        <v>1</v>
      </c>
      <c r="BL694">
        <v>0</v>
      </c>
      <c r="BO694">
        <v>0</v>
      </c>
      <c r="BP694">
        <v>0</v>
      </c>
      <c r="BW694" t="str">
        <f>"13:56:16.135"</f>
        <v>13:56:16.135</v>
      </c>
      <c r="CJ694">
        <v>0</v>
      </c>
      <c r="CK694">
        <v>2</v>
      </c>
      <c r="CL694">
        <v>0</v>
      </c>
      <c r="CM694">
        <v>2</v>
      </c>
      <c r="CN694">
        <v>0</v>
      </c>
      <c r="CO694">
        <v>6</v>
      </c>
      <c r="CP694" t="s">
        <v>119</v>
      </c>
      <c r="CQ694">
        <v>209</v>
      </c>
      <c r="CR694">
        <v>3</v>
      </c>
      <c r="CW694">
        <v>7216498</v>
      </c>
      <c r="CY694">
        <v>1</v>
      </c>
      <c r="CZ694">
        <v>0</v>
      </c>
      <c r="DA694">
        <v>1</v>
      </c>
      <c r="DB694">
        <v>0</v>
      </c>
      <c r="DC694">
        <v>0</v>
      </c>
      <c r="DD694">
        <v>1</v>
      </c>
      <c r="DE694">
        <v>0</v>
      </c>
      <c r="DF694">
        <v>0</v>
      </c>
      <c r="DG694">
        <v>0</v>
      </c>
      <c r="DH694">
        <v>0</v>
      </c>
      <c r="DI694">
        <v>0</v>
      </c>
    </row>
    <row r="695" spans="1:113" x14ac:dyDescent="0.3">
      <c r="A695" t="str">
        <f>"09/28/2021 13:56:17.258"</f>
        <v>09/28/2021 13:56:17.258</v>
      </c>
      <c r="C695" t="str">
        <f t="shared" si="35"/>
        <v>FFDFD3C0</v>
      </c>
      <c r="D695" t="s">
        <v>120</v>
      </c>
      <c r="E695">
        <v>12</v>
      </c>
      <c r="F695">
        <v>1012</v>
      </c>
      <c r="G695" t="s">
        <v>114</v>
      </c>
      <c r="J695" t="s">
        <v>121</v>
      </c>
      <c r="K695">
        <v>0</v>
      </c>
      <c r="L695">
        <v>3</v>
      </c>
      <c r="M695">
        <v>0</v>
      </c>
      <c r="N695">
        <v>2</v>
      </c>
      <c r="O695">
        <v>1</v>
      </c>
      <c r="P695">
        <v>0</v>
      </c>
      <c r="Q695">
        <v>0</v>
      </c>
      <c r="S695" t="str">
        <f>"13:56:17.047"</f>
        <v>13:56:17.047</v>
      </c>
      <c r="T695" t="str">
        <f>"13:56:16.647"</f>
        <v>13:56:16.647</v>
      </c>
      <c r="U695" t="str">
        <f t="shared" si="34"/>
        <v>A92BC1</v>
      </c>
      <c r="V695">
        <v>0</v>
      </c>
      <c r="W695">
        <v>0</v>
      </c>
      <c r="X695">
        <v>2</v>
      </c>
      <c r="Z695">
        <v>0</v>
      </c>
      <c r="AA695">
        <v>9</v>
      </c>
      <c r="AB695">
        <v>3</v>
      </c>
      <c r="AC695">
        <v>0</v>
      </c>
      <c r="AD695">
        <v>10</v>
      </c>
      <c r="AE695">
        <v>0</v>
      </c>
      <c r="AF695">
        <v>3</v>
      </c>
      <c r="AG695">
        <v>2</v>
      </c>
      <c r="AH695">
        <v>0</v>
      </c>
      <c r="AI695" t="s">
        <v>796</v>
      </c>
      <c r="AJ695">
        <v>45.795715000000001</v>
      </c>
      <c r="AK695" t="s">
        <v>797</v>
      </c>
      <c r="AL695">
        <v>-89.267628000000002</v>
      </c>
      <c r="AM695">
        <v>100</v>
      </c>
      <c r="AN695">
        <v>12500</v>
      </c>
      <c r="AO695" t="s">
        <v>118</v>
      </c>
      <c r="AP695">
        <v>152</v>
      </c>
      <c r="AQ695">
        <v>108</v>
      </c>
      <c r="AR695">
        <v>1280</v>
      </c>
      <c r="AZ695">
        <v>1200</v>
      </c>
      <c r="BA695">
        <v>1</v>
      </c>
      <c r="BB695" t="str">
        <f t="shared" si="36"/>
        <v xml:space="preserve">N690LS  </v>
      </c>
      <c r="BC695">
        <v>1</v>
      </c>
      <c r="BE695">
        <v>0</v>
      </c>
      <c r="BF695">
        <v>0</v>
      </c>
      <c r="BG695">
        <v>0</v>
      </c>
      <c r="BH695">
        <v>12900</v>
      </c>
      <c r="BI695">
        <v>1</v>
      </c>
      <c r="BJ695">
        <v>1</v>
      </c>
      <c r="BK695">
        <v>1</v>
      </c>
      <c r="BL695">
        <v>0</v>
      </c>
      <c r="BO695">
        <v>0</v>
      </c>
      <c r="BP695">
        <v>0</v>
      </c>
      <c r="BW695" t="str">
        <f>"13:56:17.048"</f>
        <v>13:56:17.048</v>
      </c>
      <c r="CJ695">
        <v>0</v>
      </c>
      <c r="CK695">
        <v>2</v>
      </c>
      <c r="CL695">
        <v>0</v>
      </c>
      <c r="CM695">
        <v>2</v>
      </c>
      <c r="CN695">
        <v>0</v>
      </c>
      <c r="CO695">
        <v>7</v>
      </c>
      <c r="CP695" t="s">
        <v>119</v>
      </c>
      <c r="CQ695">
        <v>197</v>
      </c>
      <c r="CR695">
        <v>1</v>
      </c>
      <c r="CW695">
        <v>7342104</v>
      </c>
      <c r="CY695">
        <v>1</v>
      </c>
      <c r="CZ695">
        <v>0</v>
      </c>
      <c r="DA695">
        <v>0</v>
      </c>
      <c r="DB695">
        <v>0</v>
      </c>
      <c r="DC695">
        <v>0</v>
      </c>
      <c r="DD695">
        <v>1</v>
      </c>
      <c r="DE695">
        <v>0</v>
      </c>
      <c r="DF695">
        <v>0</v>
      </c>
      <c r="DG695">
        <v>0</v>
      </c>
      <c r="DH695">
        <v>0</v>
      </c>
      <c r="DI695">
        <v>0</v>
      </c>
    </row>
    <row r="696" spans="1:113" x14ac:dyDescent="0.3">
      <c r="A696" t="str">
        <f>"09/28/2021 13:56:17.258"</f>
        <v>09/28/2021 13:56:17.258</v>
      </c>
      <c r="C696" t="str">
        <f t="shared" si="35"/>
        <v>FFDFD3C0</v>
      </c>
      <c r="D696" t="s">
        <v>113</v>
      </c>
      <c r="E696">
        <v>7</v>
      </c>
      <c r="H696">
        <v>170</v>
      </c>
      <c r="I696" t="s">
        <v>114</v>
      </c>
      <c r="J696" t="s">
        <v>115</v>
      </c>
      <c r="K696">
        <v>0</v>
      </c>
      <c r="L696">
        <v>3</v>
      </c>
      <c r="M696">
        <v>0</v>
      </c>
      <c r="N696">
        <v>2</v>
      </c>
      <c r="O696">
        <v>1</v>
      </c>
      <c r="P696">
        <v>0</v>
      </c>
      <c r="Q696">
        <v>0</v>
      </c>
      <c r="S696" t="str">
        <f>"13:56:17.047"</f>
        <v>13:56:17.047</v>
      </c>
      <c r="T696" t="str">
        <f>"13:56:16.647"</f>
        <v>13:56:16.647</v>
      </c>
      <c r="U696" t="str">
        <f t="shared" si="34"/>
        <v>A92BC1</v>
      </c>
      <c r="V696">
        <v>0</v>
      </c>
      <c r="W696">
        <v>0</v>
      </c>
      <c r="X696">
        <v>2</v>
      </c>
      <c r="Z696">
        <v>0</v>
      </c>
      <c r="AA696">
        <v>9</v>
      </c>
      <c r="AB696">
        <v>3</v>
      </c>
      <c r="AC696">
        <v>0</v>
      </c>
      <c r="AD696">
        <v>10</v>
      </c>
      <c r="AE696">
        <v>0</v>
      </c>
      <c r="AF696">
        <v>3</v>
      </c>
      <c r="AG696">
        <v>2</v>
      </c>
      <c r="AH696">
        <v>0</v>
      </c>
      <c r="AI696" t="s">
        <v>796</v>
      </c>
      <c r="AJ696">
        <v>45.795715000000001</v>
      </c>
      <c r="AK696" t="s">
        <v>797</v>
      </c>
      <c r="AL696">
        <v>-89.267628000000002</v>
      </c>
      <c r="AM696">
        <v>100</v>
      </c>
      <c r="AN696">
        <v>12500</v>
      </c>
      <c r="AO696" t="s">
        <v>118</v>
      </c>
      <c r="AP696">
        <v>152</v>
      </c>
      <c r="AQ696">
        <v>108</v>
      </c>
      <c r="AR696">
        <v>1280</v>
      </c>
      <c r="AZ696">
        <v>1200</v>
      </c>
      <c r="BA696">
        <v>1</v>
      </c>
      <c r="BB696" t="str">
        <f t="shared" si="36"/>
        <v xml:space="preserve">N690LS  </v>
      </c>
      <c r="BC696">
        <v>1</v>
      </c>
      <c r="BE696">
        <v>0</v>
      </c>
      <c r="BF696">
        <v>0</v>
      </c>
      <c r="BG696">
        <v>0</v>
      </c>
      <c r="BH696">
        <v>12900</v>
      </c>
      <c r="BI696">
        <v>1</v>
      </c>
      <c r="BJ696">
        <v>1</v>
      </c>
      <c r="BK696">
        <v>1</v>
      </c>
      <c r="BL696">
        <v>0</v>
      </c>
      <c r="BO696">
        <v>0</v>
      </c>
      <c r="BP696">
        <v>0</v>
      </c>
      <c r="BW696" t="str">
        <f>"13:56:17.048"</f>
        <v>13:56:17.048</v>
      </c>
      <c r="CJ696">
        <v>0</v>
      </c>
      <c r="CK696">
        <v>2</v>
      </c>
      <c r="CL696">
        <v>0</v>
      </c>
      <c r="CM696">
        <v>2</v>
      </c>
      <c r="CN696">
        <v>0</v>
      </c>
      <c r="CO696">
        <v>7</v>
      </c>
      <c r="CP696" t="s">
        <v>119</v>
      </c>
      <c r="CQ696">
        <v>197</v>
      </c>
      <c r="CR696">
        <v>1</v>
      </c>
      <c r="CW696">
        <v>7342104</v>
      </c>
      <c r="CY696">
        <v>1</v>
      </c>
      <c r="CZ696">
        <v>0</v>
      </c>
      <c r="DA696">
        <v>1</v>
      </c>
      <c r="DB696">
        <v>0</v>
      </c>
      <c r="DC696">
        <v>0</v>
      </c>
      <c r="DD696">
        <v>1</v>
      </c>
      <c r="DE696">
        <v>0</v>
      </c>
      <c r="DF696">
        <v>0</v>
      </c>
      <c r="DG696">
        <v>0</v>
      </c>
      <c r="DH696">
        <v>0</v>
      </c>
      <c r="DI696">
        <v>0</v>
      </c>
    </row>
    <row r="697" spans="1:113" x14ac:dyDescent="0.3">
      <c r="A697" t="str">
        <f>"09/28/2021 13:56:18.166"</f>
        <v>09/28/2021 13:56:18.166</v>
      </c>
      <c r="C697" t="str">
        <f t="shared" si="35"/>
        <v>FFDFD3C0</v>
      </c>
      <c r="D697" t="s">
        <v>113</v>
      </c>
      <c r="E697">
        <v>7</v>
      </c>
      <c r="H697">
        <v>170</v>
      </c>
      <c r="I697" t="s">
        <v>114</v>
      </c>
      <c r="J697" t="s">
        <v>115</v>
      </c>
      <c r="K697">
        <v>0</v>
      </c>
      <c r="L697">
        <v>3</v>
      </c>
      <c r="M697">
        <v>0</v>
      </c>
      <c r="N697">
        <v>2</v>
      </c>
      <c r="O697">
        <v>1</v>
      </c>
      <c r="P697">
        <v>0</v>
      </c>
      <c r="Q697">
        <v>0</v>
      </c>
      <c r="S697" t="str">
        <f>"13:56:17.945"</f>
        <v>13:56:17.945</v>
      </c>
      <c r="T697" t="str">
        <f>"13:56:17.545"</f>
        <v>13:56:17.545</v>
      </c>
      <c r="U697" t="str">
        <f t="shared" si="34"/>
        <v>A92BC1</v>
      </c>
      <c r="V697">
        <v>0</v>
      </c>
      <c r="W697">
        <v>0</v>
      </c>
      <c r="X697">
        <v>2</v>
      </c>
      <c r="Z697">
        <v>0</v>
      </c>
      <c r="AA697">
        <v>9</v>
      </c>
      <c r="AB697">
        <v>3</v>
      </c>
      <c r="AC697">
        <v>0</v>
      </c>
      <c r="AD697">
        <v>10</v>
      </c>
      <c r="AE697">
        <v>0</v>
      </c>
      <c r="AF697">
        <v>3</v>
      </c>
      <c r="AG697">
        <v>2</v>
      </c>
      <c r="AH697">
        <v>0</v>
      </c>
      <c r="AI697" t="s">
        <v>798</v>
      </c>
      <c r="AJ697">
        <v>45.796187000000003</v>
      </c>
      <c r="AK697" t="s">
        <v>799</v>
      </c>
      <c r="AL697">
        <v>-89.266727000000003</v>
      </c>
      <c r="AM697">
        <v>100</v>
      </c>
      <c r="AN697">
        <v>12600</v>
      </c>
      <c r="AO697" t="s">
        <v>118</v>
      </c>
      <c r="AP697">
        <v>152</v>
      </c>
      <c r="AQ697">
        <v>108</v>
      </c>
      <c r="AR697">
        <v>1280</v>
      </c>
      <c r="AZ697">
        <v>1200</v>
      </c>
      <c r="BA697">
        <v>1</v>
      </c>
      <c r="BB697" t="str">
        <f t="shared" si="36"/>
        <v xml:space="preserve">N690LS  </v>
      </c>
      <c r="BC697">
        <v>1</v>
      </c>
      <c r="BE697">
        <v>0</v>
      </c>
      <c r="BF697">
        <v>0</v>
      </c>
      <c r="BG697">
        <v>0</v>
      </c>
      <c r="BH697">
        <v>12925</v>
      </c>
      <c r="BI697">
        <v>1</v>
      </c>
      <c r="BJ697">
        <v>1</v>
      </c>
      <c r="BK697">
        <v>1</v>
      </c>
      <c r="BL697">
        <v>0</v>
      </c>
      <c r="BO697">
        <v>0</v>
      </c>
      <c r="BP697">
        <v>0</v>
      </c>
      <c r="BW697" t="str">
        <f>"13:56:17.946"</f>
        <v>13:56:17.946</v>
      </c>
      <c r="CJ697">
        <v>0</v>
      </c>
      <c r="CK697">
        <v>2</v>
      </c>
      <c r="CL697">
        <v>0</v>
      </c>
      <c r="CM697">
        <v>2</v>
      </c>
      <c r="CN697">
        <v>0</v>
      </c>
      <c r="CO697">
        <v>6</v>
      </c>
      <c r="CP697" t="s">
        <v>119</v>
      </c>
      <c r="CQ697">
        <v>209</v>
      </c>
      <c r="CR697">
        <v>3</v>
      </c>
      <c r="CW697">
        <v>7217074</v>
      </c>
      <c r="CY697">
        <v>1</v>
      </c>
      <c r="CZ697">
        <v>0</v>
      </c>
      <c r="DA697">
        <v>0</v>
      </c>
      <c r="DB697">
        <v>0</v>
      </c>
      <c r="DC697">
        <v>0</v>
      </c>
      <c r="DD697">
        <v>1</v>
      </c>
      <c r="DE697">
        <v>0</v>
      </c>
      <c r="DF697">
        <v>0</v>
      </c>
      <c r="DG697">
        <v>0</v>
      </c>
      <c r="DH697">
        <v>0</v>
      </c>
      <c r="DI697">
        <v>0</v>
      </c>
    </row>
    <row r="698" spans="1:113" x14ac:dyDescent="0.3">
      <c r="A698" t="str">
        <f>"09/28/2021 13:56:18.166"</f>
        <v>09/28/2021 13:56:18.166</v>
      </c>
      <c r="C698" t="str">
        <f t="shared" si="35"/>
        <v>FFDFD3C0</v>
      </c>
      <c r="D698" t="s">
        <v>120</v>
      </c>
      <c r="E698">
        <v>12</v>
      </c>
      <c r="F698">
        <v>1012</v>
      </c>
      <c r="G698" t="s">
        <v>114</v>
      </c>
      <c r="J698" t="s">
        <v>121</v>
      </c>
      <c r="K698">
        <v>0</v>
      </c>
      <c r="L698">
        <v>3</v>
      </c>
      <c r="M698">
        <v>0</v>
      </c>
      <c r="N698">
        <v>2</v>
      </c>
      <c r="O698">
        <v>1</v>
      </c>
      <c r="P698">
        <v>0</v>
      </c>
      <c r="Q698">
        <v>0</v>
      </c>
      <c r="S698" t="str">
        <f>"13:56:17.945"</f>
        <v>13:56:17.945</v>
      </c>
      <c r="T698" t="str">
        <f>"13:56:17.545"</f>
        <v>13:56:17.545</v>
      </c>
      <c r="U698" t="str">
        <f t="shared" si="34"/>
        <v>A92BC1</v>
      </c>
      <c r="V698">
        <v>0</v>
      </c>
      <c r="W698">
        <v>0</v>
      </c>
      <c r="X698">
        <v>2</v>
      </c>
      <c r="Z698">
        <v>0</v>
      </c>
      <c r="AA698">
        <v>9</v>
      </c>
      <c r="AB698">
        <v>3</v>
      </c>
      <c r="AC698">
        <v>0</v>
      </c>
      <c r="AD698">
        <v>10</v>
      </c>
      <c r="AE698">
        <v>0</v>
      </c>
      <c r="AF698">
        <v>3</v>
      </c>
      <c r="AG698">
        <v>2</v>
      </c>
      <c r="AH698">
        <v>0</v>
      </c>
      <c r="AI698" t="s">
        <v>798</v>
      </c>
      <c r="AJ698">
        <v>45.796187000000003</v>
      </c>
      <c r="AK698" t="s">
        <v>799</v>
      </c>
      <c r="AL698">
        <v>-89.266727000000003</v>
      </c>
      <c r="AM698">
        <v>100</v>
      </c>
      <c r="AN698">
        <v>12600</v>
      </c>
      <c r="AO698" t="s">
        <v>118</v>
      </c>
      <c r="AP698">
        <v>152</v>
      </c>
      <c r="AQ698">
        <v>108</v>
      </c>
      <c r="AR698">
        <v>1280</v>
      </c>
      <c r="AZ698">
        <v>1200</v>
      </c>
      <c r="BA698">
        <v>1</v>
      </c>
      <c r="BB698" t="str">
        <f t="shared" si="36"/>
        <v xml:space="preserve">N690LS  </v>
      </c>
      <c r="BC698">
        <v>1</v>
      </c>
      <c r="BE698">
        <v>0</v>
      </c>
      <c r="BF698">
        <v>0</v>
      </c>
      <c r="BG698">
        <v>0</v>
      </c>
      <c r="BH698">
        <v>12925</v>
      </c>
      <c r="BI698">
        <v>1</v>
      </c>
      <c r="BJ698">
        <v>1</v>
      </c>
      <c r="BK698">
        <v>1</v>
      </c>
      <c r="BL698">
        <v>0</v>
      </c>
      <c r="BO698">
        <v>0</v>
      </c>
      <c r="BP698">
        <v>0</v>
      </c>
      <c r="BW698" t="str">
        <f>"13:56:17.946"</f>
        <v>13:56:17.946</v>
      </c>
      <c r="CJ698">
        <v>0</v>
      </c>
      <c r="CK698">
        <v>2</v>
      </c>
      <c r="CL698">
        <v>0</v>
      </c>
      <c r="CM698">
        <v>2</v>
      </c>
      <c r="CN698">
        <v>0</v>
      </c>
      <c r="CO698">
        <v>6</v>
      </c>
      <c r="CP698" t="s">
        <v>119</v>
      </c>
      <c r="CQ698">
        <v>209</v>
      </c>
      <c r="CR698">
        <v>3</v>
      </c>
      <c r="CW698">
        <v>7217074</v>
      </c>
      <c r="CY698">
        <v>1</v>
      </c>
      <c r="CZ698">
        <v>0</v>
      </c>
      <c r="DA698">
        <v>1</v>
      </c>
      <c r="DB698">
        <v>0</v>
      </c>
      <c r="DC698">
        <v>0</v>
      </c>
      <c r="DD698">
        <v>1</v>
      </c>
      <c r="DE698">
        <v>0</v>
      </c>
      <c r="DF698">
        <v>0</v>
      </c>
      <c r="DG698">
        <v>0</v>
      </c>
      <c r="DH698">
        <v>0</v>
      </c>
      <c r="DI698">
        <v>0</v>
      </c>
    </row>
    <row r="699" spans="1:113" x14ac:dyDescent="0.3">
      <c r="A699" t="str">
        <f>"09/28/2021 13:56:19.089"</f>
        <v>09/28/2021 13:56:19.089</v>
      </c>
      <c r="C699" t="str">
        <f t="shared" si="35"/>
        <v>FFDFD3C0</v>
      </c>
      <c r="D699" t="s">
        <v>120</v>
      </c>
      <c r="E699">
        <v>12</v>
      </c>
      <c r="F699">
        <v>1012</v>
      </c>
      <c r="G699" t="s">
        <v>114</v>
      </c>
      <c r="J699" t="s">
        <v>121</v>
      </c>
      <c r="K699">
        <v>0</v>
      </c>
      <c r="L699">
        <v>3</v>
      </c>
      <c r="M699">
        <v>0</v>
      </c>
      <c r="N699">
        <v>2</v>
      </c>
      <c r="O699">
        <v>1</v>
      </c>
      <c r="P699">
        <v>0</v>
      </c>
      <c r="Q699">
        <v>0</v>
      </c>
      <c r="S699" t="str">
        <f>"13:56:18.875"</f>
        <v>13:56:18.875</v>
      </c>
      <c r="T699" t="str">
        <f>"13:56:18.475"</f>
        <v>13:56:18.475</v>
      </c>
      <c r="U699" t="str">
        <f t="shared" si="34"/>
        <v>A92BC1</v>
      </c>
      <c r="V699">
        <v>0</v>
      </c>
      <c r="W699">
        <v>0</v>
      </c>
      <c r="X699">
        <v>2</v>
      </c>
      <c r="Z699">
        <v>0</v>
      </c>
      <c r="AA699">
        <v>9</v>
      </c>
      <c r="AB699">
        <v>3</v>
      </c>
      <c r="AC699">
        <v>0</v>
      </c>
      <c r="AD699">
        <v>10</v>
      </c>
      <c r="AE699">
        <v>0</v>
      </c>
      <c r="AF699">
        <v>3</v>
      </c>
      <c r="AG699">
        <v>2</v>
      </c>
      <c r="AH699">
        <v>0</v>
      </c>
      <c r="AI699" t="s">
        <v>800</v>
      </c>
      <c r="AJ699">
        <v>45.796658999999998</v>
      </c>
      <c r="AK699" t="s">
        <v>801</v>
      </c>
      <c r="AL699">
        <v>-89.265846999999994</v>
      </c>
      <c r="AM699">
        <v>100</v>
      </c>
      <c r="AN699">
        <v>12600</v>
      </c>
      <c r="AO699" t="s">
        <v>118</v>
      </c>
      <c r="AP699">
        <v>152</v>
      </c>
      <c r="AQ699">
        <v>108</v>
      </c>
      <c r="AR699">
        <v>1280</v>
      </c>
      <c r="AZ699">
        <v>1200</v>
      </c>
      <c r="BA699">
        <v>1</v>
      </c>
      <c r="BB699" t="str">
        <f t="shared" si="36"/>
        <v xml:space="preserve">N690LS  </v>
      </c>
      <c r="BC699">
        <v>1</v>
      </c>
      <c r="BE699">
        <v>0</v>
      </c>
      <c r="BF699">
        <v>0</v>
      </c>
      <c r="BG699">
        <v>0</v>
      </c>
      <c r="BH699">
        <v>12950</v>
      </c>
      <c r="BI699">
        <v>1</v>
      </c>
      <c r="BJ699">
        <v>1</v>
      </c>
      <c r="BK699">
        <v>1</v>
      </c>
      <c r="BL699">
        <v>0</v>
      </c>
      <c r="BO699">
        <v>0</v>
      </c>
      <c r="BP699">
        <v>0</v>
      </c>
      <c r="BW699" t="str">
        <f>"13:56:18.880"</f>
        <v>13:56:18.880</v>
      </c>
      <c r="CJ699">
        <v>0</v>
      </c>
      <c r="CK699">
        <v>2</v>
      </c>
      <c r="CL699">
        <v>0</v>
      </c>
      <c r="CM699">
        <v>2</v>
      </c>
      <c r="CN699">
        <v>0</v>
      </c>
      <c r="CO699">
        <v>6</v>
      </c>
      <c r="CP699" t="s">
        <v>119</v>
      </c>
      <c r="CQ699">
        <v>209</v>
      </c>
      <c r="CR699">
        <v>3</v>
      </c>
      <c r="CW699">
        <v>7217381</v>
      </c>
      <c r="CY699">
        <v>1</v>
      </c>
      <c r="CZ699">
        <v>0</v>
      </c>
      <c r="DA699">
        <v>0</v>
      </c>
      <c r="DB699">
        <v>0</v>
      </c>
      <c r="DC699">
        <v>0</v>
      </c>
      <c r="DD699">
        <v>1</v>
      </c>
      <c r="DE699">
        <v>0</v>
      </c>
      <c r="DF699">
        <v>0</v>
      </c>
      <c r="DG699">
        <v>0</v>
      </c>
      <c r="DH699">
        <v>0</v>
      </c>
      <c r="DI699">
        <v>0</v>
      </c>
    </row>
    <row r="700" spans="1:113" x14ac:dyDescent="0.3">
      <c r="A700" t="str">
        <f>"09/28/2021 13:56:19.089"</f>
        <v>09/28/2021 13:56:19.089</v>
      </c>
      <c r="C700" t="str">
        <f t="shared" si="35"/>
        <v>FFDFD3C0</v>
      </c>
      <c r="D700" t="s">
        <v>113</v>
      </c>
      <c r="E700">
        <v>7</v>
      </c>
      <c r="H700">
        <v>170</v>
      </c>
      <c r="I700" t="s">
        <v>114</v>
      </c>
      <c r="J700" t="s">
        <v>115</v>
      </c>
      <c r="K700">
        <v>0</v>
      </c>
      <c r="L700">
        <v>3</v>
      </c>
      <c r="M700">
        <v>0</v>
      </c>
      <c r="N700">
        <v>2</v>
      </c>
      <c r="O700">
        <v>1</v>
      </c>
      <c r="P700">
        <v>0</v>
      </c>
      <c r="Q700">
        <v>0</v>
      </c>
      <c r="S700" t="str">
        <f>"13:56:18.875"</f>
        <v>13:56:18.875</v>
      </c>
      <c r="T700" t="str">
        <f>"13:56:18.475"</f>
        <v>13:56:18.475</v>
      </c>
      <c r="U700" t="str">
        <f t="shared" si="34"/>
        <v>A92BC1</v>
      </c>
      <c r="V700">
        <v>0</v>
      </c>
      <c r="W700">
        <v>0</v>
      </c>
      <c r="X700">
        <v>2</v>
      </c>
      <c r="Z700">
        <v>0</v>
      </c>
      <c r="AA700">
        <v>9</v>
      </c>
      <c r="AB700">
        <v>3</v>
      </c>
      <c r="AC700">
        <v>0</v>
      </c>
      <c r="AD700">
        <v>10</v>
      </c>
      <c r="AE700">
        <v>0</v>
      </c>
      <c r="AF700">
        <v>3</v>
      </c>
      <c r="AG700">
        <v>2</v>
      </c>
      <c r="AH700">
        <v>0</v>
      </c>
      <c r="AI700" t="s">
        <v>800</v>
      </c>
      <c r="AJ700">
        <v>45.796658999999998</v>
      </c>
      <c r="AK700" t="s">
        <v>801</v>
      </c>
      <c r="AL700">
        <v>-89.265846999999994</v>
      </c>
      <c r="AM700">
        <v>100</v>
      </c>
      <c r="AN700">
        <v>12600</v>
      </c>
      <c r="AO700" t="s">
        <v>118</v>
      </c>
      <c r="AP700">
        <v>152</v>
      </c>
      <c r="AQ700">
        <v>108</v>
      </c>
      <c r="AR700">
        <v>1280</v>
      </c>
      <c r="AZ700">
        <v>1200</v>
      </c>
      <c r="BA700">
        <v>1</v>
      </c>
      <c r="BB700" t="str">
        <f t="shared" si="36"/>
        <v xml:space="preserve">N690LS  </v>
      </c>
      <c r="BC700">
        <v>1</v>
      </c>
      <c r="BE700">
        <v>0</v>
      </c>
      <c r="BF700">
        <v>0</v>
      </c>
      <c r="BG700">
        <v>0</v>
      </c>
      <c r="BH700">
        <v>12950</v>
      </c>
      <c r="BI700">
        <v>1</v>
      </c>
      <c r="BJ700">
        <v>1</v>
      </c>
      <c r="BK700">
        <v>1</v>
      </c>
      <c r="BL700">
        <v>0</v>
      </c>
      <c r="BO700">
        <v>0</v>
      </c>
      <c r="BP700">
        <v>0</v>
      </c>
      <c r="BW700" t="str">
        <f>"13:56:18.880"</f>
        <v>13:56:18.880</v>
      </c>
      <c r="CJ700">
        <v>0</v>
      </c>
      <c r="CK700">
        <v>2</v>
      </c>
      <c r="CL700">
        <v>0</v>
      </c>
      <c r="CM700">
        <v>2</v>
      </c>
      <c r="CN700">
        <v>0</v>
      </c>
      <c r="CO700">
        <v>6</v>
      </c>
      <c r="CP700" t="s">
        <v>119</v>
      </c>
      <c r="CQ700">
        <v>209</v>
      </c>
      <c r="CR700">
        <v>3</v>
      </c>
      <c r="CW700">
        <v>7217381</v>
      </c>
      <c r="CY700">
        <v>1</v>
      </c>
      <c r="CZ700">
        <v>0</v>
      </c>
      <c r="DA700">
        <v>1</v>
      </c>
      <c r="DB700">
        <v>0</v>
      </c>
      <c r="DC700">
        <v>0</v>
      </c>
      <c r="DD700">
        <v>1</v>
      </c>
      <c r="DE700">
        <v>0</v>
      </c>
      <c r="DF700">
        <v>0</v>
      </c>
      <c r="DG700">
        <v>0</v>
      </c>
      <c r="DH700">
        <v>0</v>
      </c>
      <c r="DI700">
        <v>0</v>
      </c>
    </row>
    <row r="701" spans="1:113" x14ac:dyDescent="0.3">
      <c r="A701" t="str">
        <f>"09/28/2021 13:56:20.183"</f>
        <v>09/28/2021 13:56:20.183</v>
      </c>
      <c r="C701" t="str">
        <f t="shared" si="35"/>
        <v>FFDFD3C0</v>
      </c>
      <c r="D701" t="s">
        <v>120</v>
      </c>
      <c r="E701">
        <v>12</v>
      </c>
      <c r="F701">
        <v>1012</v>
      </c>
      <c r="G701" t="s">
        <v>114</v>
      </c>
      <c r="J701" t="s">
        <v>121</v>
      </c>
      <c r="K701">
        <v>0</v>
      </c>
      <c r="L701">
        <v>3</v>
      </c>
      <c r="M701">
        <v>0</v>
      </c>
      <c r="N701">
        <v>2</v>
      </c>
      <c r="O701">
        <v>1</v>
      </c>
      <c r="P701">
        <v>0</v>
      </c>
      <c r="Q701">
        <v>0</v>
      </c>
      <c r="S701" t="str">
        <f>"13:56:19.953"</f>
        <v>13:56:19.953</v>
      </c>
      <c r="T701" t="str">
        <f>"13:56:19.553"</f>
        <v>13:56:19.553</v>
      </c>
      <c r="U701" t="str">
        <f t="shared" si="34"/>
        <v>A92BC1</v>
      </c>
      <c r="V701">
        <v>0</v>
      </c>
      <c r="W701">
        <v>0</v>
      </c>
      <c r="X701">
        <v>2</v>
      </c>
      <c r="Z701">
        <v>0</v>
      </c>
      <c r="AA701">
        <v>9</v>
      </c>
      <c r="AB701">
        <v>3</v>
      </c>
      <c r="AC701">
        <v>0</v>
      </c>
      <c r="AD701">
        <v>10</v>
      </c>
      <c r="AE701">
        <v>0</v>
      </c>
      <c r="AF701">
        <v>3</v>
      </c>
      <c r="AG701">
        <v>2</v>
      </c>
      <c r="AH701">
        <v>0</v>
      </c>
      <c r="AI701" t="s">
        <v>802</v>
      </c>
      <c r="AJ701">
        <v>45.797195000000002</v>
      </c>
      <c r="AK701" t="s">
        <v>803</v>
      </c>
      <c r="AL701">
        <v>-89.264709999999994</v>
      </c>
      <c r="AM701">
        <v>100</v>
      </c>
      <c r="AN701">
        <v>12600</v>
      </c>
      <c r="AO701" t="s">
        <v>118</v>
      </c>
      <c r="AP701">
        <v>152</v>
      </c>
      <c r="AQ701">
        <v>108</v>
      </c>
      <c r="AR701">
        <v>1344</v>
      </c>
      <c r="AZ701">
        <v>1200</v>
      </c>
      <c r="BA701">
        <v>1</v>
      </c>
      <c r="BB701" t="str">
        <f t="shared" si="36"/>
        <v xml:space="preserve">N690LS  </v>
      </c>
      <c r="BC701">
        <v>1</v>
      </c>
      <c r="BE701">
        <v>0</v>
      </c>
      <c r="BF701">
        <v>0</v>
      </c>
      <c r="BG701">
        <v>0</v>
      </c>
      <c r="BH701">
        <v>12975</v>
      </c>
      <c r="BI701">
        <v>1</v>
      </c>
      <c r="BJ701">
        <v>1</v>
      </c>
      <c r="BK701">
        <v>1</v>
      </c>
      <c r="BL701">
        <v>0</v>
      </c>
      <c r="BO701">
        <v>0</v>
      </c>
      <c r="BP701">
        <v>0</v>
      </c>
      <c r="BW701" t="str">
        <f>"13:56:19.960"</f>
        <v>13:56:19.960</v>
      </c>
      <c r="CJ701">
        <v>0</v>
      </c>
      <c r="CK701">
        <v>2</v>
      </c>
      <c r="CL701">
        <v>0</v>
      </c>
      <c r="CM701">
        <v>2</v>
      </c>
      <c r="CN701">
        <v>0</v>
      </c>
      <c r="CO701">
        <v>6</v>
      </c>
      <c r="CP701" t="s">
        <v>119</v>
      </c>
      <c r="CQ701">
        <v>209</v>
      </c>
      <c r="CR701">
        <v>3</v>
      </c>
      <c r="CW701">
        <v>7217695</v>
      </c>
      <c r="CY701">
        <v>1</v>
      </c>
      <c r="CZ701">
        <v>0</v>
      </c>
      <c r="DA701">
        <v>0</v>
      </c>
      <c r="DB701">
        <v>0</v>
      </c>
      <c r="DC701">
        <v>0</v>
      </c>
      <c r="DD701">
        <v>1</v>
      </c>
      <c r="DE701">
        <v>0</v>
      </c>
      <c r="DF701">
        <v>0</v>
      </c>
      <c r="DG701">
        <v>0</v>
      </c>
      <c r="DH701">
        <v>0</v>
      </c>
      <c r="DI701">
        <v>0</v>
      </c>
    </row>
    <row r="702" spans="1:113" x14ac:dyDescent="0.3">
      <c r="A702" t="str">
        <f>"09/28/2021 13:56:20.183"</f>
        <v>09/28/2021 13:56:20.183</v>
      </c>
      <c r="C702" t="str">
        <f t="shared" si="35"/>
        <v>FFDFD3C0</v>
      </c>
      <c r="D702" t="s">
        <v>113</v>
      </c>
      <c r="E702">
        <v>7</v>
      </c>
      <c r="H702">
        <v>170</v>
      </c>
      <c r="I702" t="s">
        <v>114</v>
      </c>
      <c r="J702" t="s">
        <v>115</v>
      </c>
      <c r="K702">
        <v>0</v>
      </c>
      <c r="L702">
        <v>3</v>
      </c>
      <c r="M702">
        <v>0</v>
      </c>
      <c r="N702">
        <v>2</v>
      </c>
      <c r="O702">
        <v>1</v>
      </c>
      <c r="P702">
        <v>0</v>
      </c>
      <c r="Q702">
        <v>0</v>
      </c>
      <c r="S702" t="str">
        <f>"13:56:19.953"</f>
        <v>13:56:19.953</v>
      </c>
      <c r="T702" t="str">
        <f>"13:56:19.553"</f>
        <v>13:56:19.553</v>
      </c>
      <c r="U702" t="str">
        <f t="shared" si="34"/>
        <v>A92BC1</v>
      </c>
      <c r="V702">
        <v>0</v>
      </c>
      <c r="W702">
        <v>0</v>
      </c>
      <c r="X702">
        <v>2</v>
      </c>
      <c r="Z702">
        <v>0</v>
      </c>
      <c r="AA702">
        <v>9</v>
      </c>
      <c r="AB702">
        <v>3</v>
      </c>
      <c r="AC702">
        <v>0</v>
      </c>
      <c r="AD702">
        <v>10</v>
      </c>
      <c r="AE702">
        <v>0</v>
      </c>
      <c r="AF702">
        <v>3</v>
      </c>
      <c r="AG702">
        <v>2</v>
      </c>
      <c r="AH702">
        <v>0</v>
      </c>
      <c r="AI702" t="s">
        <v>802</v>
      </c>
      <c r="AJ702">
        <v>45.797195000000002</v>
      </c>
      <c r="AK702" t="s">
        <v>803</v>
      </c>
      <c r="AL702">
        <v>-89.264709999999994</v>
      </c>
      <c r="AM702">
        <v>100</v>
      </c>
      <c r="AN702">
        <v>12600</v>
      </c>
      <c r="AO702" t="s">
        <v>118</v>
      </c>
      <c r="AP702">
        <v>152</v>
      </c>
      <c r="AQ702">
        <v>108</v>
      </c>
      <c r="AR702">
        <v>1344</v>
      </c>
      <c r="AZ702">
        <v>1200</v>
      </c>
      <c r="BA702">
        <v>1</v>
      </c>
      <c r="BB702" t="str">
        <f t="shared" si="36"/>
        <v xml:space="preserve">N690LS  </v>
      </c>
      <c r="BC702">
        <v>1</v>
      </c>
      <c r="BE702">
        <v>0</v>
      </c>
      <c r="BF702">
        <v>0</v>
      </c>
      <c r="BG702">
        <v>0</v>
      </c>
      <c r="BH702">
        <v>12975</v>
      </c>
      <c r="BI702">
        <v>1</v>
      </c>
      <c r="BJ702">
        <v>1</v>
      </c>
      <c r="BK702">
        <v>1</v>
      </c>
      <c r="BL702">
        <v>0</v>
      </c>
      <c r="BO702">
        <v>0</v>
      </c>
      <c r="BP702">
        <v>0</v>
      </c>
      <c r="BW702" t="str">
        <f>"13:56:19.960"</f>
        <v>13:56:19.960</v>
      </c>
      <c r="CJ702">
        <v>0</v>
      </c>
      <c r="CK702">
        <v>2</v>
      </c>
      <c r="CL702">
        <v>0</v>
      </c>
      <c r="CM702">
        <v>2</v>
      </c>
      <c r="CN702">
        <v>0</v>
      </c>
      <c r="CO702">
        <v>6</v>
      </c>
      <c r="CP702" t="s">
        <v>119</v>
      </c>
      <c r="CQ702">
        <v>209</v>
      </c>
      <c r="CR702">
        <v>3</v>
      </c>
      <c r="CW702">
        <v>7217695</v>
      </c>
      <c r="CY702">
        <v>1</v>
      </c>
      <c r="CZ702">
        <v>0</v>
      </c>
      <c r="DA702">
        <v>1</v>
      </c>
      <c r="DB702">
        <v>0</v>
      </c>
      <c r="DC702">
        <v>0</v>
      </c>
      <c r="DD702">
        <v>1</v>
      </c>
      <c r="DE702">
        <v>0</v>
      </c>
      <c r="DF702">
        <v>0</v>
      </c>
      <c r="DG702">
        <v>0</v>
      </c>
      <c r="DH702">
        <v>0</v>
      </c>
      <c r="DI702">
        <v>0</v>
      </c>
    </row>
    <row r="703" spans="1:113" x14ac:dyDescent="0.3">
      <c r="A703" t="str">
        <f>"09/28/2021 13:56:21.277"</f>
        <v>09/28/2021 13:56:21.277</v>
      </c>
      <c r="C703" t="str">
        <f t="shared" si="35"/>
        <v>FFDFD3C0</v>
      </c>
      <c r="D703" t="s">
        <v>120</v>
      </c>
      <c r="E703">
        <v>12</v>
      </c>
      <c r="F703">
        <v>1012</v>
      </c>
      <c r="G703" t="s">
        <v>114</v>
      </c>
      <c r="J703" t="s">
        <v>121</v>
      </c>
      <c r="K703">
        <v>0</v>
      </c>
      <c r="L703">
        <v>3</v>
      </c>
      <c r="M703">
        <v>0</v>
      </c>
      <c r="N703">
        <v>2</v>
      </c>
      <c r="O703">
        <v>1</v>
      </c>
      <c r="P703">
        <v>0</v>
      </c>
      <c r="Q703">
        <v>0</v>
      </c>
      <c r="S703" t="str">
        <f>"13:56:21.078"</f>
        <v>13:56:21.078</v>
      </c>
      <c r="T703" t="str">
        <f>"13:56:20.578"</f>
        <v>13:56:20.578</v>
      </c>
      <c r="U703" t="str">
        <f t="shared" si="34"/>
        <v>A92BC1</v>
      </c>
      <c r="V703">
        <v>0</v>
      </c>
      <c r="W703">
        <v>0</v>
      </c>
      <c r="X703">
        <v>2</v>
      </c>
      <c r="Z703">
        <v>0</v>
      </c>
      <c r="AA703">
        <v>9</v>
      </c>
      <c r="AB703">
        <v>3</v>
      </c>
      <c r="AC703">
        <v>0</v>
      </c>
      <c r="AD703">
        <v>10</v>
      </c>
      <c r="AE703">
        <v>0</v>
      </c>
      <c r="AF703">
        <v>3</v>
      </c>
      <c r="AG703">
        <v>2</v>
      </c>
      <c r="AH703">
        <v>0</v>
      </c>
      <c r="AI703" t="s">
        <v>804</v>
      </c>
      <c r="AJ703">
        <v>45.797710000000002</v>
      </c>
      <c r="AK703" t="s">
        <v>805</v>
      </c>
      <c r="AL703">
        <v>-89.263637000000003</v>
      </c>
      <c r="AM703">
        <v>100</v>
      </c>
      <c r="AN703">
        <v>12600</v>
      </c>
      <c r="AO703" t="s">
        <v>118</v>
      </c>
      <c r="AP703">
        <v>152</v>
      </c>
      <c r="AQ703">
        <v>109</v>
      </c>
      <c r="AR703">
        <v>1344</v>
      </c>
      <c r="AZ703">
        <v>1200</v>
      </c>
      <c r="BA703">
        <v>1</v>
      </c>
      <c r="BB703" t="str">
        <f t="shared" si="36"/>
        <v xml:space="preserve">N690LS  </v>
      </c>
      <c r="BC703">
        <v>1</v>
      </c>
      <c r="BE703">
        <v>0</v>
      </c>
      <c r="BF703">
        <v>0</v>
      </c>
      <c r="BG703">
        <v>0</v>
      </c>
      <c r="BH703">
        <v>13000</v>
      </c>
      <c r="BI703">
        <v>1</v>
      </c>
      <c r="BJ703">
        <v>1</v>
      </c>
      <c r="BK703">
        <v>1</v>
      </c>
      <c r="BL703">
        <v>0</v>
      </c>
      <c r="BO703">
        <v>0</v>
      </c>
      <c r="BP703">
        <v>0</v>
      </c>
      <c r="BW703" t="str">
        <f>"13:56:21.079"</f>
        <v>13:56:21.079</v>
      </c>
      <c r="CJ703">
        <v>0</v>
      </c>
      <c r="CK703">
        <v>2</v>
      </c>
      <c r="CL703">
        <v>0</v>
      </c>
      <c r="CM703">
        <v>2</v>
      </c>
      <c r="CN703">
        <v>0</v>
      </c>
      <c r="CO703">
        <v>6</v>
      </c>
      <c r="CP703" t="s">
        <v>119</v>
      </c>
      <c r="CQ703">
        <v>209</v>
      </c>
      <c r="CR703">
        <v>3</v>
      </c>
      <c r="CW703">
        <v>7218063</v>
      </c>
      <c r="CY703">
        <v>1</v>
      </c>
      <c r="CZ703">
        <v>0</v>
      </c>
      <c r="DA703">
        <v>0</v>
      </c>
      <c r="DB703">
        <v>0</v>
      </c>
      <c r="DC703">
        <v>0</v>
      </c>
      <c r="DD703">
        <v>1</v>
      </c>
      <c r="DE703">
        <v>0</v>
      </c>
      <c r="DF703">
        <v>0</v>
      </c>
      <c r="DG703">
        <v>0</v>
      </c>
      <c r="DH703">
        <v>0</v>
      </c>
      <c r="DI703">
        <v>0</v>
      </c>
    </row>
    <row r="704" spans="1:113" x14ac:dyDescent="0.3">
      <c r="A704" t="str">
        <f>"09/28/2021 13:56:21.324"</f>
        <v>09/28/2021 13:56:21.324</v>
      </c>
      <c r="C704" t="str">
        <f t="shared" si="35"/>
        <v>FFDFD3C0</v>
      </c>
      <c r="D704" t="s">
        <v>113</v>
      </c>
      <c r="E704">
        <v>7</v>
      </c>
      <c r="H704">
        <v>170</v>
      </c>
      <c r="I704" t="s">
        <v>114</v>
      </c>
      <c r="J704" t="s">
        <v>115</v>
      </c>
      <c r="K704">
        <v>0</v>
      </c>
      <c r="L704">
        <v>3</v>
      </c>
      <c r="M704">
        <v>0</v>
      </c>
      <c r="N704">
        <v>2</v>
      </c>
      <c r="O704">
        <v>1</v>
      </c>
      <c r="P704">
        <v>0</v>
      </c>
      <c r="Q704">
        <v>0</v>
      </c>
      <c r="S704" t="str">
        <f>"13:56:21.078"</f>
        <v>13:56:21.078</v>
      </c>
      <c r="T704" t="str">
        <f>"13:56:20.578"</f>
        <v>13:56:20.578</v>
      </c>
      <c r="U704" t="str">
        <f t="shared" si="34"/>
        <v>A92BC1</v>
      </c>
      <c r="V704">
        <v>0</v>
      </c>
      <c r="W704">
        <v>0</v>
      </c>
      <c r="X704">
        <v>2</v>
      </c>
      <c r="Z704">
        <v>0</v>
      </c>
      <c r="AA704">
        <v>9</v>
      </c>
      <c r="AB704">
        <v>3</v>
      </c>
      <c r="AC704">
        <v>0</v>
      </c>
      <c r="AD704">
        <v>10</v>
      </c>
      <c r="AE704">
        <v>0</v>
      </c>
      <c r="AF704">
        <v>3</v>
      </c>
      <c r="AG704">
        <v>2</v>
      </c>
      <c r="AH704">
        <v>0</v>
      </c>
      <c r="AI704" t="s">
        <v>804</v>
      </c>
      <c r="AJ704">
        <v>45.797710000000002</v>
      </c>
      <c r="AK704" t="s">
        <v>805</v>
      </c>
      <c r="AL704">
        <v>-89.263637000000003</v>
      </c>
      <c r="AM704">
        <v>100</v>
      </c>
      <c r="AN704">
        <v>12600</v>
      </c>
      <c r="AO704" t="s">
        <v>118</v>
      </c>
      <c r="AP704">
        <v>152</v>
      </c>
      <c r="AQ704">
        <v>109</v>
      </c>
      <c r="AR704">
        <v>1344</v>
      </c>
      <c r="AZ704">
        <v>1200</v>
      </c>
      <c r="BA704">
        <v>1</v>
      </c>
      <c r="BB704" t="str">
        <f t="shared" si="36"/>
        <v xml:space="preserve">N690LS  </v>
      </c>
      <c r="BC704">
        <v>1</v>
      </c>
      <c r="BE704">
        <v>0</v>
      </c>
      <c r="BF704">
        <v>0</v>
      </c>
      <c r="BG704">
        <v>0</v>
      </c>
      <c r="BH704">
        <v>13000</v>
      </c>
      <c r="BI704">
        <v>1</v>
      </c>
      <c r="BJ704">
        <v>1</v>
      </c>
      <c r="BK704">
        <v>1</v>
      </c>
      <c r="BL704">
        <v>0</v>
      </c>
      <c r="BO704">
        <v>0</v>
      </c>
      <c r="BP704">
        <v>0</v>
      </c>
      <c r="BW704" t="str">
        <f>"13:56:21.079"</f>
        <v>13:56:21.079</v>
      </c>
      <c r="CJ704">
        <v>0</v>
      </c>
      <c r="CK704">
        <v>2</v>
      </c>
      <c r="CL704">
        <v>0</v>
      </c>
      <c r="CM704">
        <v>2</v>
      </c>
      <c r="CN704">
        <v>0</v>
      </c>
      <c r="CO704">
        <v>6</v>
      </c>
      <c r="CP704" t="s">
        <v>119</v>
      </c>
      <c r="CQ704">
        <v>209</v>
      </c>
      <c r="CR704">
        <v>3</v>
      </c>
      <c r="CW704">
        <v>7218063</v>
      </c>
      <c r="CY704">
        <v>1</v>
      </c>
      <c r="CZ704">
        <v>0</v>
      </c>
      <c r="DA704">
        <v>1</v>
      </c>
      <c r="DB704">
        <v>0</v>
      </c>
      <c r="DC704">
        <v>0</v>
      </c>
      <c r="DD704">
        <v>1</v>
      </c>
      <c r="DE704">
        <v>0</v>
      </c>
      <c r="DF704">
        <v>0</v>
      </c>
      <c r="DG704">
        <v>0</v>
      </c>
      <c r="DH704">
        <v>0</v>
      </c>
      <c r="DI704">
        <v>0</v>
      </c>
    </row>
    <row r="705" spans="1:113" x14ac:dyDescent="0.3">
      <c r="A705" t="str">
        <f>"09/28/2021 13:56:22.229"</f>
        <v>09/28/2021 13:56:22.229</v>
      </c>
      <c r="C705" t="str">
        <f t="shared" si="35"/>
        <v>FFDFD3C0</v>
      </c>
      <c r="D705" t="s">
        <v>120</v>
      </c>
      <c r="E705">
        <v>12</v>
      </c>
      <c r="F705">
        <v>1012</v>
      </c>
      <c r="G705" t="s">
        <v>114</v>
      </c>
      <c r="J705" t="s">
        <v>121</v>
      </c>
      <c r="K705">
        <v>0</v>
      </c>
      <c r="L705">
        <v>3</v>
      </c>
      <c r="M705">
        <v>0</v>
      </c>
      <c r="N705">
        <v>2</v>
      </c>
      <c r="O705">
        <v>1</v>
      </c>
      <c r="P705">
        <v>0</v>
      </c>
      <c r="Q705">
        <v>0</v>
      </c>
      <c r="S705" t="str">
        <f>"13:56:22.063"</f>
        <v>13:56:22.063</v>
      </c>
      <c r="T705" t="str">
        <f>"13:56:21.563"</f>
        <v>13:56:21.563</v>
      </c>
      <c r="U705" t="str">
        <f t="shared" si="34"/>
        <v>A92BC1</v>
      </c>
      <c r="V705">
        <v>0</v>
      </c>
      <c r="W705">
        <v>0</v>
      </c>
      <c r="X705">
        <v>2</v>
      </c>
      <c r="Z705">
        <v>0</v>
      </c>
      <c r="AA705">
        <v>9</v>
      </c>
      <c r="AB705">
        <v>3</v>
      </c>
      <c r="AC705">
        <v>0</v>
      </c>
      <c r="AD705">
        <v>10</v>
      </c>
      <c r="AE705">
        <v>0</v>
      </c>
      <c r="AF705">
        <v>3</v>
      </c>
      <c r="AG705">
        <v>2</v>
      </c>
      <c r="AH705">
        <v>0</v>
      </c>
      <c r="AI705" t="s">
        <v>806</v>
      </c>
      <c r="AJ705">
        <v>45.798225000000002</v>
      </c>
      <c r="AK705" t="s">
        <v>807</v>
      </c>
      <c r="AL705">
        <v>-89.262607000000003</v>
      </c>
      <c r="AM705">
        <v>100</v>
      </c>
      <c r="AN705">
        <v>12600</v>
      </c>
      <c r="AO705" t="s">
        <v>118</v>
      </c>
      <c r="AP705">
        <v>152</v>
      </c>
      <c r="AQ705">
        <v>109</v>
      </c>
      <c r="AR705">
        <v>1344</v>
      </c>
      <c r="AZ705">
        <v>1200</v>
      </c>
      <c r="BA705">
        <v>1</v>
      </c>
      <c r="BB705" t="str">
        <f t="shared" si="36"/>
        <v xml:space="preserve">N690LS  </v>
      </c>
      <c r="BC705">
        <v>1</v>
      </c>
      <c r="BE705">
        <v>0</v>
      </c>
      <c r="BF705">
        <v>0</v>
      </c>
      <c r="BG705">
        <v>0</v>
      </c>
      <c r="BH705">
        <v>13025</v>
      </c>
      <c r="BI705">
        <v>1</v>
      </c>
      <c r="BJ705">
        <v>1</v>
      </c>
      <c r="BK705">
        <v>1</v>
      </c>
      <c r="BL705">
        <v>0</v>
      </c>
      <c r="BO705">
        <v>0</v>
      </c>
      <c r="BP705">
        <v>0</v>
      </c>
      <c r="BW705" t="str">
        <f>"13:56:22.063"</f>
        <v>13:56:22.063</v>
      </c>
      <c r="CJ705">
        <v>0</v>
      </c>
      <c r="CK705">
        <v>2</v>
      </c>
      <c r="CL705">
        <v>0</v>
      </c>
      <c r="CM705">
        <v>2</v>
      </c>
      <c r="CN705">
        <v>0</v>
      </c>
      <c r="CO705">
        <v>6</v>
      </c>
      <c r="CP705" t="s">
        <v>119</v>
      </c>
      <c r="CQ705">
        <v>209</v>
      </c>
      <c r="CR705">
        <v>3</v>
      </c>
      <c r="CW705">
        <v>7218394</v>
      </c>
      <c r="CY705">
        <v>1</v>
      </c>
      <c r="CZ705">
        <v>0</v>
      </c>
      <c r="DA705">
        <v>0</v>
      </c>
      <c r="DB705">
        <v>0</v>
      </c>
      <c r="DC705">
        <v>0</v>
      </c>
      <c r="DD705">
        <v>1</v>
      </c>
      <c r="DE705">
        <v>0</v>
      </c>
      <c r="DF705">
        <v>0</v>
      </c>
      <c r="DG705">
        <v>0</v>
      </c>
      <c r="DH705">
        <v>0</v>
      </c>
      <c r="DI705">
        <v>0</v>
      </c>
    </row>
    <row r="706" spans="1:113" x14ac:dyDescent="0.3">
      <c r="A706" t="str">
        <f>"09/28/2021 13:56:22.276"</f>
        <v>09/28/2021 13:56:22.276</v>
      </c>
      <c r="C706" t="str">
        <f t="shared" si="35"/>
        <v>FFDFD3C0</v>
      </c>
      <c r="D706" t="s">
        <v>113</v>
      </c>
      <c r="E706">
        <v>7</v>
      </c>
      <c r="H706">
        <v>170</v>
      </c>
      <c r="I706" t="s">
        <v>114</v>
      </c>
      <c r="J706" t="s">
        <v>115</v>
      </c>
      <c r="K706">
        <v>0</v>
      </c>
      <c r="L706">
        <v>3</v>
      </c>
      <c r="M706">
        <v>0</v>
      </c>
      <c r="N706">
        <v>2</v>
      </c>
      <c r="O706">
        <v>1</v>
      </c>
      <c r="P706">
        <v>0</v>
      </c>
      <c r="Q706">
        <v>0</v>
      </c>
      <c r="S706" t="str">
        <f>"13:56:22.063"</f>
        <v>13:56:22.063</v>
      </c>
      <c r="T706" t="str">
        <f>"13:56:21.563"</f>
        <v>13:56:21.563</v>
      </c>
      <c r="U706" t="str">
        <f t="shared" ref="U706:U769" si="37">"A92BC1"</f>
        <v>A92BC1</v>
      </c>
      <c r="V706">
        <v>0</v>
      </c>
      <c r="W706">
        <v>0</v>
      </c>
      <c r="X706">
        <v>2</v>
      </c>
      <c r="Z706">
        <v>0</v>
      </c>
      <c r="AA706">
        <v>9</v>
      </c>
      <c r="AB706">
        <v>3</v>
      </c>
      <c r="AC706">
        <v>0</v>
      </c>
      <c r="AD706">
        <v>10</v>
      </c>
      <c r="AE706">
        <v>0</v>
      </c>
      <c r="AF706">
        <v>3</v>
      </c>
      <c r="AG706">
        <v>2</v>
      </c>
      <c r="AH706">
        <v>0</v>
      </c>
      <c r="AI706" t="s">
        <v>806</v>
      </c>
      <c r="AJ706">
        <v>45.798225000000002</v>
      </c>
      <c r="AK706" t="s">
        <v>807</v>
      </c>
      <c r="AL706">
        <v>-89.262607000000003</v>
      </c>
      <c r="AM706">
        <v>100</v>
      </c>
      <c r="AN706">
        <v>12600</v>
      </c>
      <c r="AO706" t="s">
        <v>118</v>
      </c>
      <c r="AP706">
        <v>152</v>
      </c>
      <c r="AQ706">
        <v>109</v>
      </c>
      <c r="AR706">
        <v>1344</v>
      </c>
      <c r="AZ706">
        <v>1200</v>
      </c>
      <c r="BA706">
        <v>1</v>
      </c>
      <c r="BB706" t="str">
        <f t="shared" si="36"/>
        <v xml:space="preserve">N690LS  </v>
      </c>
      <c r="BC706">
        <v>1</v>
      </c>
      <c r="BE706">
        <v>0</v>
      </c>
      <c r="BF706">
        <v>0</v>
      </c>
      <c r="BG706">
        <v>0</v>
      </c>
      <c r="BH706">
        <v>13025</v>
      </c>
      <c r="BI706">
        <v>1</v>
      </c>
      <c r="BJ706">
        <v>1</v>
      </c>
      <c r="BK706">
        <v>1</v>
      </c>
      <c r="BL706">
        <v>0</v>
      </c>
      <c r="BO706">
        <v>0</v>
      </c>
      <c r="BP706">
        <v>0</v>
      </c>
      <c r="BW706" t="str">
        <f>"13:56:22.063"</f>
        <v>13:56:22.063</v>
      </c>
      <c r="CJ706">
        <v>0</v>
      </c>
      <c r="CK706">
        <v>2</v>
      </c>
      <c r="CL706">
        <v>0</v>
      </c>
      <c r="CM706">
        <v>2</v>
      </c>
      <c r="CN706">
        <v>0</v>
      </c>
      <c r="CO706">
        <v>6</v>
      </c>
      <c r="CP706" t="s">
        <v>119</v>
      </c>
      <c r="CQ706">
        <v>209</v>
      </c>
      <c r="CR706">
        <v>3</v>
      </c>
      <c r="CW706">
        <v>7218394</v>
      </c>
      <c r="CY706">
        <v>1</v>
      </c>
      <c r="CZ706">
        <v>0</v>
      </c>
      <c r="DA706">
        <v>1</v>
      </c>
      <c r="DB706">
        <v>0</v>
      </c>
      <c r="DC706">
        <v>0</v>
      </c>
      <c r="DD706">
        <v>1</v>
      </c>
      <c r="DE706">
        <v>0</v>
      </c>
      <c r="DF706">
        <v>0</v>
      </c>
      <c r="DG706">
        <v>0</v>
      </c>
      <c r="DH706">
        <v>0</v>
      </c>
      <c r="DI706">
        <v>0</v>
      </c>
    </row>
    <row r="707" spans="1:113" x14ac:dyDescent="0.3">
      <c r="A707" t="str">
        <f>"09/28/2021 13:56:23.167"</f>
        <v>09/28/2021 13:56:23.167</v>
      </c>
      <c r="C707" t="str">
        <f t="shared" si="35"/>
        <v>FFDFD3C0</v>
      </c>
      <c r="D707" t="s">
        <v>120</v>
      </c>
      <c r="E707">
        <v>12</v>
      </c>
      <c r="F707">
        <v>1012</v>
      </c>
      <c r="G707" t="s">
        <v>114</v>
      </c>
      <c r="J707" t="s">
        <v>121</v>
      </c>
      <c r="K707">
        <v>0</v>
      </c>
      <c r="L707">
        <v>3</v>
      </c>
      <c r="M707">
        <v>0</v>
      </c>
      <c r="N707">
        <v>2</v>
      </c>
      <c r="O707">
        <v>1</v>
      </c>
      <c r="P707">
        <v>0</v>
      </c>
      <c r="Q707">
        <v>0</v>
      </c>
      <c r="S707" t="str">
        <f>"13:56:22.953"</f>
        <v>13:56:22.953</v>
      </c>
      <c r="T707" t="str">
        <f>"13:56:22.553"</f>
        <v>13:56:22.553</v>
      </c>
      <c r="U707" t="str">
        <f t="shared" si="37"/>
        <v>A92BC1</v>
      </c>
      <c r="V707">
        <v>0</v>
      </c>
      <c r="W707">
        <v>0</v>
      </c>
      <c r="X707">
        <v>2</v>
      </c>
      <c r="Z707">
        <v>0</v>
      </c>
      <c r="AA707">
        <v>9</v>
      </c>
      <c r="AB707">
        <v>3</v>
      </c>
      <c r="AC707">
        <v>0</v>
      </c>
      <c r="AD707">
        <v>10</v>
      </c>
      <c r="AE707">
        <v>0</v>
      </c>
      <c r="AF707">
        <v>3</v>
      </c>
      <c r="AG707">
        <v>2</v>
      </c>
      <c r="AH707">
        <v>0</v>
      </c>
      <c r="AI707" t="s">
        <v>808</v>
      </c>
      <c r="AJ707">
        <v>45.798696999999997</v>
      </c>
      <c r="AK707" t="s">
        <v>809</v>
      </c>
      <c r="AL707">
        <v>-89.261706000000004</v>
      </c>
      <c r="AM707">
        <v>100</v>
      </c>
      <c r="AN707">
        <v>12700</v>
      </c>
      <c r="AO707" t="s">
        <v>118</v>
      </c>
      <c r="AP707">
        <v>152</v>
      </c>
      <c r="AQ707">
        <v>109</v>
      </c>
      <c r="AR707">
        <v>1344</v>
      </c>
      <c r="AZ707">
        <v>1200</v>
      </c>
      <c r="BA707">
        <v>1</v>
      </c>
      <c r="BB707" t="str">
        <f t="shared" si="36"/>
        <v xml:space="preserve">N690LS  </v>
      </c>
      <c r="BC707">
        <v>1</v>
      </c>
      <c r="BE707">
        <v>0</v>
      </c>
      <c r="BF707">
        <v>0</v>
      </c>
      <c r="BG707">
        <v>0</v>
      </c>
      <c r="BH707">
        <v>13050</v>
      </c>
      <c r="BI707">
        <v>1</v>
      </c>
      <c r="BJ707">
        <v>1</v>
      </c>
      <c r="BK707">
        <v>1</v>
      </c>
      <c r="BL707">
        <v>0</v>
      </c>
      <c r="BO707">
        <v>0</v>
      </c>
      <c r="BP707">
        <v>0</v>
      </c>
      <c r="BW707" t="str">
        <f>"13:56:22.956"</f>
        <v>13:56:22.956</v>
      </c>
      <c r="CJ707">
        <v>0</v>
      </c>
      <c r="CK707">
        <v>2</v>
      </c>
      <c r="CL707">
        <v>0</v>
      </c>
      <c r="CM707">
        <v>2</v>
      </c>
      <c r="CN707">
        <v>0</v>
      </c>
      <c r="CO707">
        <v>6</v>
      </c>
      <c r="CP707" t="s">
        <v>119</v>
      </c>
      <c r="CQ707">
        <v>209</v>
      </c>
      <c r="CR707">
        <v>3</v>
      </c>
      <c r="CW707">
        <v>7218691</v>
      </c>
      <c r="CY707">
        <v>1</v>
      </c>
      <c r="CZ707">
        <v>0</v>
      </c>
      <c r="DA707">
        <v>0</v>
      </c>
      <c r="DB707">
        <v>0</v>
      </c>
      <c r="DC707">
        <v>0</v>
      </c>
      <c r="DD707">
        <v>1</v>
      </c>
      <c r="DE707">
        <v>0</v>
      </c>
      <c r="DF707">
        <v>0</v>
      </c>
      <c r="DG707">
        <v>0</v>
      </c>
      <c r="DH707">
        <v>0</v>
      </c>
      <c r="DI707">
        <v>0</v>
      </c>
    </row>
    <row r="708" spans="1:113" x14ac:dyDescent="0.3">
      <c r="A708" t="str">
        <f>"09/28/2021 13:56:23.167"</f>
        <v>09/28/2021 13:56:23.167</v>
      </c>
      <c r="C708" t="str">
        <f t="shared" si="35"/>
        <v>FFDFD3C0</v>
      </c>
      <c r="D708" t="s">
        <v>113</v>
      </c>
      <c r="E708">
        <v>7</v>
      </c>
      <c r="H708">
        <v>170</v>
      </c>
      <c r="I708" t="s">
        <v>114</v>
      </c>
      <c r="J708" t="s">
        <v>115</v>
      </c>
      <c r="K708">
        <v>0</v>
      </c>
      <c r="L708">
        <v>3</v>
      </c>
      <c r="M708">
        <v>0</v>
      </c>
      <c r="N708">
        <v>2</v>
      </c>
      <c r="O708">
        <v>1</v>
      </c>
      <c r="P708">
        <v>0</v>
      </c>
      <c r="Q708">
        <v>0</v>
      </c>
      <c r="S708" t="str">
        <f>"13:56:22.953"</f>
        <v>13:56:22.953</v>
      </c>
      <c r="T708" t="str">
        <f>"13:56:22.553"</f>
        <v>13:56:22.553</v>
      </c>
      <c r="U708" t="str">
        <f t="shared" si="37"/>
        <v>A92BC1</v>
      </c>
      <c r="V708">
        <v>0</v>
      </c>
      <c r="W708">
        <v>0</v>
      </c>
      <c r="X708">
        <v>2</v>
      </c>
      <c r="Z708">
        <v>0</v>
      </c>
      <c r="AA708">
        <v>9</v>
      </c>
      <c r="AB708">
        <v>3</v>
      </c>
      <c r="AC708">
        <v>0</v>
      </c>
      <c r="AD708">
        <v>10</v>
      </c>
      <c r="AE708">
        <v>0</v>
      </c>
      <c r="AF708">
        <v>3</v>
      </c>
      <c r="AG708">
        <v>2</v>
      </c>
      <c r="AH708">
        <v>0</v>
      </c>
      <c r="AI708" t="s">
        <v>808</v>
      </c>
      <c r="AJ708">
        <v>45.798696999999997</v>
      </c>
      <c r="AK708" t="s">
        <v>809</v>
      </c>
      <c r="AL708">
        <v>-89.261706000000004</v>
      </c>
      <c r="AM708">
        <v>100</v>
      </c>
      <c r="AN708">
        <v>12700</v>
      </c>
      <c r="AO708" t="s">
        <v>118</v>
      </c>
      <c r="AP708">
        <v>152</v>
      </c>
      <c r="AQ708">
        <v>109</v>
      </c>
      <c r="AR708">
        <v>1344</v>
      </c>
      <c r="AZ708">
        <v>1200</v>
      </c>
      <c r="BA708">
        <v>1</v>
      </c>
      <c r="BB708" t="str">
        <f t="shared" si="36"/>
        <v xml:space="preserve">N690LS  </v>
      </c>
      <c r="BC708">
        <v>1</v>
      </c>
      <c r="BE708">
        <v>0</v>
      </c>
      <c r="BF708">
        <v>0</v>
      </c>
      <c r="BG708">
        <v>0</v>
      </c>
      <c r="BH708">
        <v>13050</v>
      </c>
      <c r="BI708">
        <v>1</v>
      </c>
      <c r="BJ708">
        <v>1</v>
      </c>
      <c r="BK708">
        <v>1</v>
      </c>
      <c r="BL708">
        <v>0</v>
      </c>
      <c r="BO708">
        <v>0</v>
      </c>
      <c r="BP708">
        <v>0</v>
      </c>
      <c r="BW708" t="str">
        <f>"13:56:22.956"</f>
        <v>13:56:22.956</v>
      </c>
      <c r="CJ708">
        <v>0</v>
      </c>
      <c r="CK708">
        <v>2</v>
      </c>
      <c r="CL708">
        <v>0</v>
      </c>
      <c r="CM708">
        <v>2</v>
      </c>
      <c r="CN708">
        <v>0</v>
      </c>
      <c r="CO708">
        <v>6</v>
      </c>
      <c r="CP708" t="s">
        <v>119</v>
      </c>
      <c r="CQ708">
        <v>209</v>
      </c>
      <c r="CR708">
        <v>3</v>
      </c>
      <c r="CW708">
        <v>7218691</v>
      </c>
      <c r="CY708">
        <v>1</v>
      </c>
      <c r="CZ708">
        <v>0</v>
      </c>
      <c r="DA708">
        <v>1</v>
      </c>
      <c r="DB708">
        <v>0</v>
      </c>
      <c r="DC708">
        <v>0</v>
      </c>
      <c r="DD708">
        <v>1</v>
      </c>
      <c r="DE708">
        <v>0</v>
      </c>
      <c r="DF708">
        <v>0</v>
      </c>
      <c r="DG708">
        <v>0</v>
      </c>
      <c r="DH708">
        <v>0</v>
      </c>
      <c r="DI708">
        <v>0</v>
      </c>
    </row>
    <row r="709" spans="1:113" x14ac:dyDescent="0.3">
      <c r="A709" t="str">
        <f>"09/28/2021 13:56:24.184"</f>
        <v>09/28/2021 13:56:24.184</v>
      </c>
      <c r="C709" t="str">
        <f t="shared" si="35"/>
        <v>FFDFD3C0</v>
      </c>
      <c r="D709" t="s">
        <v>120</v>
      </c>
      <c r="E709">
        <v>12</v>
      </c>
      <c r="F709">
        <v>1012</v>
      </c>
      <c r="G709" t="s">
        <v>114</v>
      </c>
      <c r="J709" t="s">
        <v>121</v>
      </c>
      <c r="K709">
        <v>0</v>
      </c>
      <c r="L709">
        <v>3</v>
      </c>
      <c r="M709">
        <v>0</v>
      </c>
      <c r="N709">
        <v>2</v>
      </c>
      <c r="O709">
        <v>1</v>
      </c>
      <c r="P709">
        <v>0</v>
      </c>
      <c r="Q709">
        <v>0</v>
      </c>
      <c r="S709" t="str">
        <f>"13:56:23.953"</f>
        <v>13:56:23.953</v>
      </c>
      <c r="T709" t="str">
        <f>"13:56:23.553"</f>
        <v>13:56:23.553</v>
      </c>
      <c r="U709" t="str">
        <f t="shared" si="37"/>
        <v>A92BC1</v>
      </c>
      <c r="V709">
        <v>0</v>
      </c>
      <c r="W709">
        <v>0</v>
      </c>
      <c r="X709">
        <v>2</v>
      </c>
      <c r="Z709">
        <v>0</v>
      </c>
      <c r="AA709">
        <v>9</v>
      </c>
      <c r="AB709">
        <v>3</v>
      </c>
      <c r="AC709">
        <v>0</v>
      </c>
      <c r="AD709">
        <v>10</v>
      </c>
      <c r="AE709">
        <v>0</v>
      </c>
      <c r="AF709">
        <v>3</v>
      </c>
      <c r="AG709">
        <v>2</v>
      </c>
      <c r="AH709">
        <v>0</v>
      </c>
      <c r="AI709" t="s">
        <v>810</v>
      </c>
      <c r="AJ709">
        <v>45.799211999999997</v>
      </c>
      <c r="AK709" t="s">
        <v>811</v>
      </c>
      <c r="AL709">
        <v>-89.260696999999993</v>
      </c>
      <c r="AM709">
        <v>100</v>
      </c>
      <c r="AN709">
        <v>12700</v>
      </c>
      <c r="AO709" t="s">
        <v>118</v>
      </c>
      <c r="AP709">
        <v>152</v>
      </c>
      <c r="AQ709">
        <v>109</v>
      </c>
      <c r="AR709">
        <v>1344</v>
      </c>
      <c r="AZ709">
        <v>1200</v>
      </c>
      <c r="BA709">
        <v>1</v>
      </c>
      <c r="BB709" t="str">
        <f t="shared" si="36"/>
        <v xml:space="preserve">N690LS  </v>
      </c>
      <c r="BC709">
        <v>1</v>
      </c>
      <c r="BE709">
        <v>0</v>
      </c>
      <c r="BF709">
        <v>0</v>
      </c>
      <c r="BG709">
        <v>0</v>
      </c>
      <c r="BH709">
        <v>13075</v>
      </c>
      <c r="BI709">
        <v>1</v>
      </c>
      <c r="BJ709">
        <v>1</v>
      </c>
      <c r="BK709">
        <v>1</v>
      </c>
      <c r="BL709">
        <v>0</v>
      </c>
      <c r="BO709">
        <v>0</v>
      </c>
      <c r="BP709">
        <v>0</v>
      </c>
      <c r="BW709" t="str">
        <f>"13:56:23.954"</f>
        <v>13:56:23.954</v>
      </c>
      <c r="CJ709">
        <v>0</v>
      </c>
      <c r="CK709">
        <v>2</v>
      </c>
      <c r="CL709">
        <v>0</v>
      </c>
      <c r="CM709">
        <v>2</v>
      </c>
      <c r="CN709">
        <v>0</v>
      </c>
      <c r="CO709">
        <v>6</v>
      </c>
      <c r="CP709" t="s">
        <v>119</v>
      </c>
      <c r="CQ709">
        <v>209</v>
      </c>
      <c r="CR709">
        <v>3</v>
      </c>
      <c r="CW709">
        <v>7219018</v>
      </c>
      <c r="CY709">
        <v>1</v>
      </c>
      <c r="CZ709">
        <v>0</v>
      </c>
      <c r="DA709">
        <v>0</v>
      </c>
      <c r="DB709">
        <v>0</v>
      </c>
      <c r="DC709">
        <v>0</v>
      </c>
      <c r="DD709">
        <v>1</v>
      </c>
      <c r="DE709">
        <v>0</v>
      </c>
      <c r="DF709">
        <v>0</v>
      </c>
      <c r="DG709">
        <v>0</v>
      </c>
      <c r="DH709">
        <v>0</v>
      </c>
      <c r="DI709">
        <v>0</v>
      </c>
    </row>
    <row r="710" spans="1:113" x14ac:dyDescent="0.3">
      <c r="A710" t="str">
        <f>"09/28/2021 13:56:24.184"</f>
        <v>09/28/2021 13:56:24.184</v>
      </c>
      <c r="C710" t="str">
        <f t="shared" si="35"/>
        <v>FFDFD3C0</v>
      </c>
      <c r="D710" t="s">
        <v>113</v>
      </c>
      <c r="E710">
        <v>7</v>
      </c>
      <c r="H710">
        <v>170</v>
      </c>
      <c r="I710" t="s">
        <v>114</v>
      </c>
      <c r="J710" t="s">
        <v>115</v>
      </c>
      <c r="K710">
        <v>0</v>
      </c>
      <c r="L710">
        <v>3</v>
      </c>
      <c r="M710">
        <v>0</v>
      </c>
      <c r="N710">
        <v>2</v>
      </c>
      <c r="O710">
        <v>1</v>
      </c>
      <c r="P710">
        <v>0</v>
      </c>
      <c r="Q710">
        <v>0</v>
      </c>
      <c r="S710" t="str">
        <f>"13:56:23.953"</f>
        <v>13:56:23.953</v>
      </c>
      <c r="T710" t="str">
        <f>"13:56:23.553"</f>
        <v>13:56:23.553</v>
      </c>
      <c r="U710" t="str">
        <f t="shared" si="37"/>
        <v>A92BC1</v>
      </c>
      <c r="V710">
        <v>0</v>
      </c>
      <c r="W710">
        <v>0</v>
      </c>
      <c r="X710">
        <v>2</v>
      </c>
      <c r="Z710">
        <v>0</v>
      </c>
      <c r="AA710">
        <v>9</v>
      </c>
      <c r="AB710">
        <v>3</v>
      </c>
      <c r="AC710">
        <v>0</v>
      </c>
      <c r="AD710">
        <v>10</v>
      </c>
      <c r="AE710">
        <v>0</v>
      </c>
      <c r="AF710">
        <v>3</v>
      </c>
      <c r="AG710">
        <v>2</v>
      </c>
      <c r="AH710">
        <v>0</v>
      </c>
      <c r="AI710" t="s">
        <v>810</v>
      </c>
      <c r="AJ710">
        <v>45.799211999999997</v>
      </c>
      <c r="AK710" t="s">
        <v>811</v>
      </c>
      <c r="AL710">
        <v>-89.260696999999993</v>
      </c>
      <c r="AM710">
        <v>100</v>
      </c>
      <c r="AN710">
        <v>12700</v>
      </c>
      <c r="AO710" t="s">
        <v>118</v>
      </c>
      <c r="AP710">
        <v>152</v>
      </c>
      <c r="AQ710">
        <v>109</v>
      </c>
      <c r="AR710">
        <v>1344</v>
      </c>
      <c r="AZ710">
        <v>1200</v>
      </c>
      <c r="BA710">
        <v>1</v>
      </c>
      <c r="BB710" t="str">
        <f t="shared" si="36"/>
        <v xml:space="preserve">N690LS  </v>
      </c>
      <c r="BC710">
        <v>1</v>
      </c>
      <c r="BE710">
        <v>0</v>
      </c>
      <c r="BF710">
        <v>0</v>
      </c>
      <c r="BG710">
        <v>0</v>
      </c>
      <c r="BH710">
        <v>13075</v>
      </c>
      <c r="BI710">
        <v>1</v>
      </c>
      <c r="BJ710">
        <v>1</v>
      </c>
      <c r="BK710">
        <v>1</v>
      </c>
      <c r="BL710">
        <v>0</v>
      </c>
      <c r="BO710">
        <v>0</v>
      </c>
      <c r="BP710">
        <v>0</v>
      </c>
      <c r="BW710" t="str">
        <f>"13:56:23.954"</f>
        <v>13:56:23.954</v>
      </c>
      <c r="CJ710">
        <v>0</v>
      </c>
      <c r="CK710">
        <v>2</v>
      </c>
      <c r="CL710">
        <v>0</v>
      </c>
      <c r="CM710">
        <v>2</v>
      </c>
      <c r="CN710">
        <v>0</v>
      </c>
      <c r="CO710">
        <v>6</v>
      </c>
      <c r="CP710" t="s">
        <v>119</v>
      </c>
      <c r="CQ710">
        <v>209</v>
      </c>
      <c r="CR710">
        <v>3</v>
      </c>
      <c r="CW710">
        <v>7219018</v>
      </c>
      <c r="CY710">
        <v>1</v>
      </c>
      <c r="CZ710">
        <v>0</v>
      </c>
      <c r="DA710">
        <v>1</v>
      </c>
      <c r="DB710">
        <v>0</v>
      </c>
      <c r="DC710">
        <v>0</v>
      </c>
      <c r="DD710">
        <v>1</v>
      </c>
      <c r="DE710">
        <v>0</v>
      </c>
      <c r="DF710">
        <v>0</v>
      </c>
      <c r="DG710">
        <v>0</v>
      </c>
      <c r="DH710">
        <v>0</v>
      </c>
      <c r="DI710">
        <v>0</v>
      </c>
    </row>
    <row r="711" spans="1:113" x14ac:dyDescent="0.3">
      <c r="A711" t="str">
        <f>"09/28/2021 13:56:25.215"</f>
        <v>09/28/2021 13:56:25.215</v>
      </c>
      <c r="C711" t="str">
        <f t="shared" si="35"/>
        <v>FFDFD3C0</v>
      </c>
      <c r="D711" t="s">
        <v>120</v>
      </c>
      <c r="E711">
        <v>12</v>
      </c>
      <c r="F711">
        <v>1012</v>
      </c>
      <c r="G711" t="s">
        <v>114</v>
      </c>
      <c r="J711" t="s">
        <v>121</v>
      </c>
      <c r="K711">
        <v>0</v>
      </c>
      <c r="L711">
        <v>3</v>
      </c>
      <c r="M711">
        <v>0</v>
      </c>
      <c r="N711">
        <v>2</v>
      </c>
      <c r="O711">
        <v>1</v>
      </c>
      <c r="P711">
        <v>0</v>
      </c>
      <c r="Q711">
        <v>0</v>
      </c>
      <c r="S711" t="str">
        <f>"13:56:25.008"</f>
        <v>13:56:25.008</v>
      </c>
      <c r="T711" t="str">
        <f>"13:56:24.508"</f>
        <v>13:56:24.508</v>
      </c>
      <c r="U711" t="str">
        <f t="shared" si="37"/>
        <v>A92BC1</v>
      </c>
      <c r="V711">
        <v>0</v>
      </c>
      <c r="W711">
        <v>0</v>
      </c>
      <c r="X711">
        <v>2</v>
      </c>
      <c r="Z711">
        <v>0</v>
      </c>
      <c r="AA711">
        <v>9</v>
      </c>
      <c r="AB711">
        <v>3</v>
      </c>
      <c r="AC711">
        <v>0</v>
      </c>
      <c r="AD711">
        <v>10</v>
      </c>
      <c r="AE711">
        <v>0</v>
      </c>
      <c r="AF711">
        <v>3</v>
      </c>
      <c r="AG711">
        <v>2</v>
      </c>
      <c r="AH711">
        <v>0</v>
      </c>
      <c r="AI711" t="s">
        <v>812</v>
      </c>
      <c r="AJ711">
        <v>45.799706</v>
      </c>
      <c r="AK711" t="s">
        <v>813</v>
      </c>
      <c r="AL711">
        <v>-89.259688999999995</v>
      </c>
      <c r="AM711">
        <v>100</v>
      </c>
      <c r="AN711">
        <v>12700</v>
      </c>
      <c r="AO711" t="s">
        <v>118</v>
      </c>
      <c r="AP711">
        <v>152</v>
      </c>
      <c r="AQ711">
        <v>110</v>
      </c>
      <c r="AR711">
        <v>1344</v>
      </c>
      <c r="AZ711">
        <v>1200</v>
      </c>
      <c r="BA711">
        <v>1</v>
      </c>
      <c r="BB711" t="str">
        <f t="shared" si="36"/>
        <v xml:space="preserve">N690LS  </v>
      </c>
      <c r="BC711">
        <v>1</v>
      </c>
      <c r="BE711">
        <v>0</v>
      </c>
      <c r="BF711">
        <v>0</v>
      </c>
      <c r="BG711">
        <v>0</v>
      </c>
      <c r="BH711">
        <v>13100</v>
      </c>
      <c r="BI711">
        <v>1</v>
      </c>
      <c r="BJ711">
        <v>1</v>
      </c>
      <c r="BK711">
        <v>1</v>
      </c>
      <c r="BL711">
        <v>0</v>
      </c>
      <c r="BO711">
        <v>0</v>
      </c>
      <c r="BP711">
        <v>0</v>
      </c>
      <c r="BW711" t="str">
        <f>"13:56:25.011"</f>
        <v>13:56:25.011</v>
      </c>
      <c r="CJ711">
        <v>0</v>
      </c>
      <c r="CK711">
        <v>2</v>
      </c>
      <c r="CL711">
        <v>0</v>
      </c>
      <c r="CM711">
        <v>2</v>
      </c>
      <c r="CN711">
        <v>0</v>
      </c>
      <c r="CO711">
        <v>7</v>
      </c>
      <c r="CP711" t="s">
        <v>119</v>
      </c>
      <c r="CQ711">
        <v>197</v>
      </c>
      <c r="CR711">
        <v>1</v>
      </c>
      <c r="CW711">
        <v>7351371</v>
      </c>
      <c r="CY711">
        <v>1</v>
      </c>
      <c r="CZ711">
        <v>0</v>
      </c>
      <c r="DA711">
        <v>0</v>
      </c>
      <c r="DB711">
        <v>0</v>
      </c>
      <c r="DC711">
        <v>0</v>
      </c>
      <c r="DD711">
        <v>1</v>
      </c>
      <c r="DE711">
        <v>0</v>
      </c>
      <c r="DF711">
        <v>0</v>
      </c>
      <c r="DG711">
        <v>0</v>
      </c>
      <c r="DH711">
        <v>0</v>
      </c>
      <c r="DI711">
        <v>0</v>
      </c>
    </row>
    <row r="712" spans="1:113" x14ac:dyDescent="0.3">
      <c r="A712" t="str">
        <f>"09/28/2021 13:56:25.246"</f>
        <v>09/28/2021 13:56:25.246</v>
      </c>
      <c r="C712" t="str">
        <f t="shared" si="35"/>
        <v>FFDFD3C0</v>
      </c>
      <c r="D712" t="s">
        <v>113</v>
      </c>
      <c r="E712">
        <v>7</v>
      </c>
      <c r="H712">
        <v>170</v>
      </c>
      <c r="I712" t="s">
        <v>114</v>
      </c>
      <c r="J712" t="s">
        <v>115</v>
      </c>
      <c r="K712">
        <v>0</v>
      </c>
      <c r="L712">
        <v>3</v>
      </c>
      <c r="M712">
        <v>0</v>
      </c>
      <c r="N712">
        <v>2</v>
      </c>
      <c r="O712">
        <v>1</v>
      </c>
      <c r="P712">
        <v>0</v>
      </c>
      <c r="Q712">
        <v>0</v>
      </c>
      <c r="S712" t="str">
        <f>"13:56:25.008"</f>
        <v>13:56:25.008</v>
      </c>
      <c r="T712" t="str">
        <f>"13:56:24.508"</f>
        <v>13:56:24.508</v>
      </c>
      <c r="U712" t="str">
        <f t="shared" si="37"/>
        <v>A92BC1</v>
      </c>
      <c r="V712">
        <v>0</v>
      </c>
      <c r="W712">
        <v>0</v>
      </c>
      <c r="X712">
        <v>2</v>
      </c>
      <c r="Z712">
        <v>0</v>
      </c>
      <c r="AA712">
        <v>9</v>
      </c>
      <c r="AB712">
        <v>3</v>
      </c>
      <c r="AC712">
        <v>0</v>
      </c>
      <c r="AD712">
        <v>10</v>
      </c>
      <c r="AE712">
        <v>0</v>
      </c>
      <c r="AF712">
        <v>3</v>
      </c>
      <c r="AG712">
        <v>2</v>
      </c>
      <c r="AH712">
        <v>0</v>
      </c>
      <c r="AI712" t="s">
        <v>812</v>
      </c>
      <c r="AJ712">
        <v>45.799706</v>
      </c>
      <c r="AK712" t="s">
        <v>813</v>
      </c>
      <c r="AL712">
        <v>-89.259688999999995</v>
      </c>
      <c r="AM712">
        <v>100</v>
      </c>
      <c r="AN712">
        <v>12700</v>
      </c>
      <c r="AO712" t="s">
        <v>118</v>
      </c>
      <c r="AP712">
        <v>152</v>
      </c>
      <c r="AQ712">
        <v>110</v>
      </c>
      <c r="AR712">
        <v>1344</v>
      </c>
      <c r="AZ712">
        <v>1200</v>
      </c>
      <c r="BA712">
        <v>1</v>
      </c>
      <c r="BB712" t="str">
        <f t="shared" si="36"/>
        <v xml:space="preserve">N690LS  </v>
      </c>
      <c r="BC712">
        <v>1</v>
      </c>
      <c r="BE712">
        <v>0</v>
      </c>
      <c r="BF712">
        <v>0</v>
      </c>
      <c r="BG712">
        <v>0</v>
      </c>
      <c r="BH712">
        <v>13100</v>
      </c>
      <c r="BI712">
        <v>1</v>
      </c>
      <c r="BJ712">
        <v>1</v>
      </c>
      <c r="BK712">
        <v>1</v>
      </c>
      <c r="BL712">
        <v>0</v>
      </c>
      <c r="BO712">
        <v>0</v>
      </c>
      <c r="BP712">
        <v>0</v>
      </c>
      <c r="BW712" t="str">
        <f>"13:56:25.011"</f>
        <v>13:56:25.011</v>
      </c>
      <c r="CJ712">
        <v>0</v>
      </c>
      <c r="CK712">
        <v>2</v>
      </c>
      <c r="CL712">
        <v>0</v>
      </c>
      <c r="CM712">
        <v>2</v>
      </c>
      <c r="CN712">
        <v>0</v>
      </c>
      <c r="CO712">
        <v>7</v>
      </c>
      <c r="CP712" t="s">
        <v>119</v>
      </c>
      <c r="CQ712">
        <v>197</v>
      </c>
      <c r="CR712">
        <v>1</v>
      </c>
      <c r="CW712">
        <v>7351371</v>
      </c>
      <c r="CY712">
        <v>1</v>
      </c>
      <c r="CZ712">
        <v>0</v>
      </c>
      <c r="DA712">
        <v>1</v>
      </c>
      <c r="DB712">
        <v>0</v>
      </c>
      <c r="DC712">
        <v>0</v>
      </c>
      <c r="DD712">
        <v>1</v>
      </c>
      <c r="DE712">
        <v>0</v>
      </c>
      <c r="DF712">
        <v>0</v>
      </c>
      <c r="DG712">
        <v>0</v>
      </c>
      <c r="DH712">
        <v>0</v>
      </c>
      <c r="DI712">
        <v>0</v>
      </c>
    </row>
    <row r="713" spans="1:113" x14ac:dyDescent="0.3">
      <c r="A713" t="str">
        <f>"09/28/2021 13:56:26.325"</f>
        <v>09/28/2021 13:56:26.325</v>
      </c>
      <c r="C713" t="str">
        <f t="shared" si="35"/>
        <v>FFDFD3C0</v>
      </c>
      <c r="D713" t="s">
        <v>113</v>
      </c>
      <c r="E713">
        <v>7</v>
      </c>
      <c r="H713">
        <v>170</v>
      </c>
      <c r="I713" t="s">
        <v>114</v>
      </c>
      <c r="J713" t="s">
        <v>115</v>
      </c>
      <c r="K713">
        <v>0</v>
      </c>
      <c r="L713">
        <v>3</v>
      </c>
      <c r="M713">
        <v>0</v>
      </c>
      <c r="N713">
        <v>2</v>
      </c>
      <c r="O713">
        <v>1</v>
      </c>
      <c r="P713">
        <v>0</v>
      </c>
      <c r="Q713">
        <v>0</v>
      </c>
      <c r="S713" t="str">
        <f>"13:56:26.102"</f>
        <v>13:56:26.102</v>
      </c>
      <c r="T713" t="str">
        <f>"13:56:25.602"</f>
        <v>13:56:25.602</v>
      </c>
      <c r="U713" t="str">
        <f t="shared" si="37"/>
        <v>A92BC1</v>
      </c>
      <c r="V713">
        <v>0</v>
      </c>
      <c r="W713">
        <v>0</v>
      </c>
      <c r="X713">
        <v>2</v>
      </c>
      <c r="Z713">
        <v>0</v>
      </c>
      <c r="AA713">
        <v>9</v>
      </c>
      <c r="AB713">
        <v>3</v>
      </c>
      <c r="AC713">
        <v>0</v>
      </c>
      <c r="AD713">
        <v>10</v>
      </c>
      <c r="AE713">
        <v>0</v>
      </c>
      <c r="AF713">
        <v>3</v>
      </c>
      <c r="AG713">
        <v>2</v>
      </c>
      <c r="AH713">
        <v>0</v>
      </c>
      <c r="AI713" t="s">
        <v>814</v>
      </c>
      <c r="AJ713">
        <v>45.800285000000002</v>
      </c>
      <c r="AK713" t="s">
        <v>815</v>
      </c>
      <c r="AL713">
        <v>-89.258551999999995</v>
      </c>
      <c r="AM713">
        <v>100</v>
      </c>
      <c r="AN713">
        <v>12700</v>
      </c>
      <c r="AO713" t="s">
        <v>118</v>
      </c>
      <c r="AP713">
        <v>152</v>
      </c>
      <c r="AQ713">
        <v>110</v>
      </c>
      <c r="AR713">
        <v>1344</v>
      </c>
      <c r="AZ713">
        <v>1200</v>
      </c>
      <c r="BA713">
        <v>1</v>
      </c>
      <c r="BB713" t="str">
        <f t="shared" si="36"/>
        <v xml:space="preserve">N690LS  </v>
      </c>
      <c r="BC713">
        <v>1</v>
      </c>
      <c r="BE713">
        <v>0</v>
      </c>
      <c r="BF713">
        <v>0</v>
      </c>
      <c r="BG713">
        <v>0</v>
      </c>
      <c r="BH713">
        <v>13125</v>
      </c>
      <c r="BI713">
        <v>1</v>
      </c>
      <c r="BJ713">
        <v>1</v>
      </c>
      <c r="BK713">
        <v>1</v>
      </c>
      <c r="BL713">
        <v>0</v>
      </c>
      <c r="BO713">
        <v>0</v>
      </c>
      <c r="BP713">
        <v>0</v>
      </c>
      <c r="BW713" t="str">
        <f>"13:56:26.108"</f>
        <v>13:56:26.108</v>
      </c>
      <c r="CJ713">
        <v>0</v>
      </c>
      <c r="CK713">
        <v>2</v>
      </c>
      <c r="CL713">
        <v>0</v>
      </c>
      <c r="CM713">
        <v>2</v>
      </c>
      <c r="CN713">
        <v>0</v>
      </c>
      <c r="CO713">
        <v>7</v>
      </c>
      <c r="CP713" t="s">
        <v>119</v>
      </c>
      <c r="CQ713">
        <v>197</v>
      </c>
      <c r="CR713">
        <v>1</v>
      </c>
      <c r="CW713">
        <v>7352648</v>
      </c>
      <c r="CY713">
        <v>1</v>
      </c>
      <c r="CZ713">
        <v>0</v>
      </c>
      <c r="DA713">
        <v>0</v>
      </c>
      <c r="DB713">
        <v>0</v>
      </c>
      <c r="DC713">
        <v>0</v>
      </c>
      <c r="DD713">
        <v>1</v>
      </c>
      <c r="DE713">
        <v>0</v>
      </c>
      <c r="DF713">
        <v>0</v>
      </c>
      <c r="DG713">
        <v>0</v>
      </c>
      <c r="DH713">
        <v>0</v>
      </c>
      <c r="DI713">
        <v>0</v>
      </c>
    </row>
    <row r="714" spans="1:113" x14ac:dyDescent="0.3">
      <c r="A714" t="str">
        <f>"09/28/2021 13:56:26.325"</f>
        <v>09/28/2021 13:56:26.325</v>
      </c>
      <c r="C714" t="str">
        <f t="shared" si="35"/>
        <v>FFDFD3C0</v>
      </c>
      <c r="D714" t="s">
        <v>120</v>
      </c>
      <c r="E714">
        <v>12</v>
      </c>
      <c r="F714">
        <v>1012</v>
      </c>
      <c r="G714" t="s">
        <v>114</v>
      </c>
      <c r="J714" t="s">
        <v>121</v>
      </c>
      <c r="K714">
        <v>0</v>
      </c>
      <c r="L714">
        <v>3</v>
      </c>
      <c r="M714">
        <v>0</v>
      </c>
      <c r="N714">
        <v>2</v>
      </c>
      <c r="O714">
        <v>1</v>
      </c>
      <c r="P714">
        <v>0</v>
      </c>
      <c r="Q714">
        <v>0</v>
      </c>
      <c r="S714" t="str">
        <f>"13:56:26.102"</f>
        <v>13:56:26.102</v>
      </c>
      <c r="T714" t="str">
        <f>"13:56:25.602"</f>
        <v>13:56:25.602</v>
      </c>
      <c r="U714" t="str">
        <f t="shared" si="37"/>
        <v>A92BC1</v>
      </c>
      <c r="V714">
        <v>0</v>
      </c>
      <c r="W714">
        <v>0</v>
      </c>
      <c r="X714">
        <v>2</v>
      </c>
      <c r="Z714">
        <v>0</v>
      </c>
      <c r="AA714">
        <v>9</v>
      </c>
      <c r="AB714">
        <v>3</v>
      </c>
      <c r="AC714">
        <v>0</v>
      </c>
      <c r="AD714">
        <v>10</v>
      </c>
      <c r="AE714">
        <v>0</v>
      </c>
      <c r="AF714">
        <v>3</v>
      </c>
      <c r="AG714">
        <v>2</v>
      </c>
      <c r="AH714">
        <v>0</v>
      </c>
      <c r="AI714" t="s">
        <v>814</v>
      </c>
      <c r="AJ714">
        <v>45.800285000000002</v>
      </c>
      <c r="AK714" t="s">
        <v>815</v>
      </c>
      <c r="AL714">
        <v>-89.258551999999995</v>
      </c>
      <c r="AM714">
        <v>100</v>
      </c>
      <c r="AN714">
        <v>12700</v>
      </c>
      <c r="AO714" t="s">
        <v>118</v>
      </c>
      <c r="AP714">
        <v>152</v>
      </c>
      <c r="AQ714">
        <v>110</v>
      </c>
      <c r="AR714">
        <v>1344</v>
      </c>
      <c r="AZ714">
        <v>1200</v>
      </c>
      <c r="BA714">
        <v>1</v>
      </c>
      <c r="BB714" t="str">
        <f t="shared" si="36"/>
        <v xml:space="preserve">N690LS  </v>
      </c>
      <c r="BC714">
        <v>1</v>
      </c>
      <c r="BE714">
        <v>0</v>
      </c>
      <c r="BF714">
        <v>0</v>
      </c>
      <c r="BG714">
        <v>0</v>
      </c>
      <c r="BH714">
        <v>13125</v>
      </c>
      <c r="BI714">
        <v>1</v>
      </c>
      <c r="BJ714">
        <v>1</v>
      </c>
      <c r="BK714">
        <v>1</v>
      </c>
      <c r="BL714">
        <v>0</v>
      </c>
      <c r="BO714">
        <v>0</v>
      </c>
      <c r="BP714">
        <v>0</v>
      </c>
      <c r="BW714" t="str">
        <f>"13:56:26.108"</f>
        <v>13:56:26.108</v>
      </c>
      <c r="CJ714">
        <v>0</v>
      </c>
      <c r="CK714">
        <v>2</v>
      </c>
      <c r="CL714">
        <v>0</v>
      </c>
      <c r="CM714">
        <v>2</v>
      </c>
      <c r="CN714">
        <v>0</v>
      </c>
      <c r="CO714">
        <v>7</v>
      </c>
      <c r="CP714" t="s">
        <v>119</v>
      </c>
      <c r="CQ714">
        <v>197</v>
      </c>
      <c r="CR714">
        <v>1</v>
      </c>
      <c r="CW714">
        <v>7352648</v>
      </c>
      <c r="CY714">
        <v>1</v>
      </c>
      <c r="CZ714">
        <v>0</v>
      </c>
      <c r="DA714">
        <v>1</v>
      </c>
      <c r="DB714">
        <v>0</v>
      </c>
      <c r="DC714">
        <v>0</v>
      </c>
      <c r="DD714">
        <v>1</v>
      </c>
      <c r="DE714">
        <v>0</v>
      </c>
      <c r="DF714">
        <v>0</v>
      </c>
      <c r="DG714">
        <v>0</v>
      </c>
      <c r="DH714">
        <v>0</v>
      </c>
      <c r="DI714">
        <v>0</v>
      </c>
    </row>
    <row r="715" spans="1:113" x14ac:dyDescent="0.3">
      <c r="A715" t="str">
        <f>"09/28/2021 13:56:27.308"</f>
        <v>09/28/2021 13:56:27.308</v>
      </c>
      <c r="C715" t="str">
        <f t="shared" si="35"/>
        <v>FFDFD3C0</v>
      </c>
      <c r="D715" t="s">
        <v>113</v>
      </c>
      <c r="E715">
        <v>7</v>
      </c>
      <c r="H715">
        <v>170</v>
      </c>
      <c r="I715" t="s">
        <v>114</v>
      </c>
      <c r="J715" t="s">
        <v>115</v>
      </c>
      <c r="K715">
        <v>0</v>
      </c>
      <c r="L715">
        <v>3</v>
      </c>
      <c r="M715">
        <v>0</v>
      </c>
      <c r="N715">
        <v>2</v>
      </c>
      <c r="O715">
        <v>1</v>
      </c>
      <c r="P715">
        <v>0</v>
      </c>
      <c r="Q715">
        <v>0</v>
      </c>
      <c r="S715" t="str">
        <f>"13:56:27.102"</f>
        <v>13:56:27.102</v>
      </c>
      <c r="T715" t="str">
        <f>"13:56:26.702"</f>
        <v>13:56:26.702</v>
      </c>
      <c r="U715" t="str">
        <f t="shared" si="37"/>
        <v>A92BC1</v>
      </c>
      <c r="V715">
        <v>0</v>
      </c>
      <c r="W715">
        <v>0</v>
      </c>
      <c r="X715">
        <v>2</v>
      </c>
      <c r="Z715">
        <v>0</v>
      </c>
      <c r="AA715">
        <v>9</v>
      </c>
      <c r="AB715">
        <v>3</v>
      </c>
      <c r="AC715">
        <v>0</v>
      </c>
      <c r="AD715">
        <v>10</v>
      </c>
      <c r="AE715">
        <v>0</v>
      </c>
      <c r="AF715">
        <v>3</v>
      </c>
      <c r="AG715">
        <v>2</v>
      </c>
      <c r="AH715">
        <v>0</v>
      </c>
      <c r="AI715" t="s">
        <v>816</v>
      </c>
      <c r="AJ715">
        <v>45.800800000000002</v>
      </c>
      <c r="AK715" t="s">
        <v>817</v>
      </c>
      <c r="AL715">
        <v>-89.257606999999993</v>
      </c>
      <c r="AM715">
        <v>100</v>
      </c>
      <c r="AN715">
        <v>12700</v>
      </c>
      <c r="AO715" t="s">
        <v>118</v>
      </c>
      <c r="AP715">
        <v>152</v>
      </c>
      <c r="AQ715">
        <v>110</v>
      </c>
      <c r="AR715">
        <v>1408</v>
      </c>
      <c r="AZ715">
        <v>1200</v>
      </c>
      <c r="BA715">
        <v>1</v>
      </c>
      <c r="BB715" t="str">
        <f t="shared" si="36"/>
        <v xml:space="preserve">N690LS  </v>
      </c>
      <c r="BC715">
        <v>1</v>
      </c>
      <c r="BE715">
        <v>0</v>
      </c>
      <c r="BF715">
        <v>0</v>
      </c>
      <c r="BG715">
        <v>0</v>
      </c>
      <c r="BH715">
        <v>13125</v>
      </c>
      <c r="BI715">
        <v>1</v>
      </c>
      <c r="BJ715">
        <v>1</v>
      </c>
      <c r="BK715">
        <v>1</v>
      </c>
      <c r="BL715">
        <v>0</v>
      </c>
      <c r="BO715">
        <v>0</v>
      </c>
      <c r="BP715">
        <v>0</v>
      </c>
      <c r="BW715" t="str">
        <f>"13:56:27.105"</f>
        <v>13:56:27.105</v>
      </c>
      <c r="CJ715">
        <v>0</v>
      </c>
      <c r="CK715">
        <v>2</v>
      </c>
      <c r="CL715">
        <v>0</v>
      </c>
      <c r="CM715">
        <v>2</v>
      </c>
      <c r="CN715">
        <v>0</v>
      </c>
      <c r="CO715">
        <v>7</v>
      </c>
      <c r="CP715" t="s">
        <v>119</v>
      </c>
      <c r="CQ715">
        <v>197</v>
      </c>
      <c r="CR715">
        <v>1</v>
      </c>
      <c r="CW715">
        <v>7353780</v>
      </c>
      <c r="CY715">
        <v>1</v>
      </c>
      <c r="CZ715">
        <v>0</v>
      </c>
      <c r="DA715">
        <v>0</v>
      </c>
      <c r="DB715">
        <v>0</v>
      </c>
      <c r="DC715">
        <v>0</v>
      </c>
      <c r="DD715">
        <v>1</v>
      </c>
      <c r="DE715">
        <v>0</v>
      </c>
      <c r="DF715">
        <v>0</v>
      </c>
      <c r="DG715">
        <v>0</v>
      </c>
      <c r="DH715">
        <v>0</v>
      </c>
      <c r="DI715">
        <v>0</v>
      </c>
    </row>
    <row r="716" spans="1:113" x14ac:dyDescent="0.3">
      <c r="A716" t="str">
        <f>"09/28/2021 13:56:27.339"</f>
        <v>09/28/2021 13:56:27.339</v>
      </c>
      <c r="C716" t="str">
        <f t="shared" si="35"/>
        <v>FFDFD3C0</v>
      </c>
      <c r="D716" t="s">
        <v>120</v>
      </c>
      <c r="E716">
        <v>12</v>
      </c>
      <c r="F716">
        <v>1012</v>
      </c>
      <c r="G716" t="s">
        <v>114</v>
      </c>
      <c r="J716" t="s">
        <v>121</v>
      </c>
      <c r="K716">
        <v>0</v>
      </c>
      <c r="L716">
        <v>3</v>
      </c>
      <c r="M716">
        <v>0</v>
      </c>
      <c r="N716">
        <v>2</v>
      </c>
      <c r="O716">
        <v>1</v>
      </c>
      <c r="P716">
        <v>0</v>
      </c>
      <c r="Q716">
        <v>0</v>
      </c>
      <c r="S716" t="str">
        <f>"13:56:27.102"</f>
        <v>13:56:27.102</v>
      </c>
      <c r="T716" t="str">
        <f>"13:56:26.702"</f>
        <v>13:56:26.702</v>
      </c>
      <c r="U716" t="str">
        <f t="shared" si="37"/>
        <v>A92BC1</v>
      </c>
      <c r="V716">
        <v>0</v>
      </c>
      <c r="W716">
        <v>0</v>
      </c>
      <c r="X716">
        <v>2</v>
      </c>
      <c r="Z716">
        <v>0</v>
      </c>
      <c r="AA716">
        <v>9</v>
      </c>
      <c r="AB716">
        <v>3</v>
      </c>
      <c r="AC716">
        <v>0</v>
      </c>
      <c r="AD716">
        <v>10</v>
      </c>
      <c r="AE716">
        <v>0</v>
      </c>
      <c r="AF716">
        <v>3</v>
      </c>
      <c r="AG716">
        <v>2</v>
      </c>
      <c r="AH716">
        <v>0</v>
      </c>
      <c r="AI716" t="s">
        <v>816</v>
      </c>
      <c r="AJ716">
        <v>45.800800000000002</v>
      </c>
      <c r="AK716" t="s">
        <v>817</v>
      </c>
      <c r="AL716">
        <v>-89.257606999999993</v>
      </c>
      <c r="AM716">
        <v>100</v>
      </c>
      <c r="AN716">
        <v>12700</v>
      </c>
      <c r="AO716" t="s">
        <v>118</v>
      </c>
      <c r="AP716">
        <v>152</v>
      </c>
      <c r="AQ716">
        <v>110</v>
      </c>
      <c r="AR716">
        <v>1408</v>
      </c>
      <c r="AZ716">
        <v>1200</v>
      </c>
      <c r="BA716">
        <v>1</v>
      </c>
      <c r="BB716" t="str">
        <f t="shared" si="36"/>
        <v xml:space="preserve">N690LS  </v>
      </c>
      <c r="BC716">
        <v>1</v>
      </c>
      <c r="BE716">
        <v>0</v>
      </c>
      <c r="BF716">
        <v>0</v>
      </c>
      <c r="BG716">
        <v>0</v>
      </c>
      <c r="BH716">
        <v>13125</v>
      </c>
      <c r="BI716">
        <v>1</v>
      </c>
      <c r="BJ716">
        <v>1</v>
      </c>
      <c r="BK716">
        <v>1</v>
      </c>
      <c r="BL716">
        <v>0</v>
      </c>
      <c r="BO716">
        <v>0</v>
      </c>
      <c r="BP716">
        <v>0</v>
      </c>
      <c r="BW716" t="str">
        <f>"13:56:27.105"</f>
        <v>13:56:27.105</v>
      </c>
      <c r="CJ716">
        <v>0</v>
      </c>
      <c r="CK716">
        <v>2</v>
      </c>
      <c r="CL716">
        <v>0</v>
      </c>
      <c r="CM716">
        <v>2</v>
      </c>
      <c r="CN716">
        <v>0</v>
      </c>
      <c r="CO716">
        <v>7</v>
      </c>
      <c r="CP716" t="s">
        <v>119</v>
      </c>
      <c r="CQ716">
        <v>197</v>
      </c>
      <c r="CR716">
        <v>1</v>
      </c>
      <c r="CW716">
        <v>7353780</v>
      </c>
      <c r="CY716">
        <v>1</v>
      </c>
      <c r="CZ716">
        <v>0</v>
      </c>
      <c r="DA716">
        <v>1</v>
      </c>
      <c r="DB716">
        <v>0</v>
      </c>
      <c r="DC716">
        <v>0</v>
      </c>
      <c r="DD716">
        <v>1</v>
      </c>
      <c r="DE716">
        <v>0</v>
      </c>
      <c r="DF716">
        <v>0</v>
      </c>
      <c r="DG716">
        <v>0</v>
      </c>
      <c r="DH716">
        <v>0</v>
      </c>
      <c r="DI716">
        <v>0</v>
      </c>
    </row>
    <row r="717" spans="1:113" x14ac:dyDescent="0.3">
      <c r="A717" t="str">
        <f>"09/28/2021 13:56:28.230"</f>
        <v>09/28/2021 13:56:28.230</v>
      </c>
      <c r="C717" t="str">
        <f t="shared" si="35"/>
        <v>FFDFD3C0</v>
      </c>
      <c r="D717" t="s">
        <v>120</v>
      </c>
      <c r="E717">
        <v>12</v>
      </c>
      <c r="F717">
        <v>1012</v>
      </c>
      <c r="G717" t="s">
        <v>114</v>
      </c>
      <c r="J717" t="s">
        <v>121</v>
      </c>
      <c r="K717">
        <v>0</v>
      </c>
      <c r="L717">
        <v>3</v>
      </c>
      <c r="M717">
        <v>0</v>
      </c>
      <c r="N717">
        <v>2</v>
      </c>
      <c r="O717">
        <v>1</v>
      </c>
      <c r="P717">
        <v>0</v>
      </c>
      <c r="Q717">
        <v>0</v>
      </c>
      <c r="S717" t="str">
        <f>"13:56:28.031"</f>
        <v>13:56:28.031</v>
      </c>
      <c r="T717" t="str">
        <f>"13:56:27.631"</f>
        <v>13:56:27.631</v>
      </c>
      <c r="U717" t="str">
        <f t="shared" si="37"/>
        <v>A92BC1</v>
      </c>
      <c r="V717">
        <v>0</v>
      </c>
      <c r="W717">
        <v>0</v>
      </c>
      <c r="X717">
        <v>2</v>
      </c>
      <c r="Z717">
        <v>0</v>
      </c>
      <c r="AA717">
        <v>9</v>
      </c>
      <c r="AB717">
        <v>3</v>
      </c>
      <c r="AC717">
        <v>0</v>
      </c>
      <c r="AD717">
        <v>10</v>
      </c>
      <c r="AE717">
        <v>0</v>
      </c>
      <c r="AF717">
        <v>3</v>
      </c>
      <c r="AG717">
        <v>2</v>
      </c>
      <c r="AH717">
        <v>0</v>
      </c>
      <c r="AI717" t="s">
        <v>818</v>
      </c>
      <c r="AJ717">
        <v>45.801293999999999</v>
      </c>
      <c r="AK717" t="s">
        <v>819</v>
      </c>
      <c r="AL717">
        <v>-89.256576999999993</v>
      </c>
      <c r="AM717">
        <v>100</v>
      </c>
      <c r="AN717">
        <v>12800</v>
      </c>
      <c r="AO717" t="s">
        <v>118</v>
      </c>
      <c r="AP717">
        <v>152</v>
      </c>
      <c r="AQ717">
        <v>110</v>
      </c>
      <c r="AR717">
        <v>1408</v>
      </c>
      <c r="AZ717">
        <v>1200</v>
      </c>
      <c r="BA717">
        <v>1</v>
      </c>
      <c r="BB717" t="str">
        <f t="shared" si="36"/>
        <v xml:space="preserve">N690LS  </v>
      </c>
      <c r="BC717">
        <v>1</v>
      </c>
      <c r="BE717">
        <v>0</v>
      </c>
      <c r="BF717">
        <v>0</v>
      </c>
      <c r="BG717">
        <v>0</v>
      </c>
      <c r="BH717">
        <v>13150</v>
      </c>
      <c r="BI717">
        <v>1</v>
      </c>
      <c r="BJ717">
        <v>1</v>
      </c>
      <c r="BK717">
        <v>1</v>
      </c>
      <c r="BL717">
        <v>0</v>
      </c>
      <c r="BO717">
        <v>0</v>
      </c>
      <c r="BP717">
        <v>0</v>
      </c>
      <c r="BW717" t="str">
        <f>"13:56:28.035"</f>
        <v>13:56:28.035</v>
      </c>
      <c r="CJ717">
        <v>0</v>
      </c>
      <c r="CK717">
        <v>2</v>
      </c>
      <c r="CL717">
        <v>0</v>
      </c>
      <c r="CM717">
        <v>2</v>
      </c>
      <c r="CN717">
        <v>0</v>
      </c>
      <c r="CO717">
        <v>6</v>
      </c>
      <c r="CP717" t="s">
        <v>119</v>
      </c>
      <c r="CQ717">
        <v>209</v>
      </c>
      <c r="CR717">
        <v>3</v>
      </c>
      <c r="CW717">
        <v>7220286</v>
      </c>
      <c r="CY717">
        <v>1</v>
      </c>
      <c r="CZ717">
        <v>0</v>
      </c>
      <c r="DA717">
        <v>0</v>
      </c>
      <c r="DB717">
        <v>0</v>
      </c>
      <c r="DC717">
        <v>0</v>
      </c>
      <c r="DD717">
        <v>1</v>
      </c>
      <c r="DE717">
        <v>0</v>
      </c>
      <c r="DF717">
        <v>0</v>
      </c>
      <c r="DG717">
        <v>0</v>
      </c>
      <c r="DH717">
        <v>0</v>
      </c>
      <c r="DI717">
        <v>0</v>
      </c>
    </row>
    <row r="718" spans="1:113" x14ac:dyDescent="0.3">
      <c r="A718" t="str">
        <f>"09/28/2021 13:56:28.261"</f>
        <v>09/28/2021 13:56:28.261</v>
      </c>
      <c r="C718" t="str">
        <f t="shared" si="35"/>
        <v>FFDFD3C0</v>
      </c>
      <c r="D718" t="s">
        <v>113</v>
      </c>
      <c r="E718">
        <v>7</v>
      </c>
      <c r="H718">
        <v>170</v>
      </c>
      <c r="I718" t="s">
        <v>114</v>
      </c>
      <c r="J718" t="s">
        <v>115</v>
      </c>
      <c r="K718">
        <v>0</v>
      </c>
      <c r="L718">
        <v>3</v>
      </c>
      <c r="M718">
        <v>0</v>
      </c>
      <c r="N718">
        <v>2</v>
      </c>
      <c r="O718">
        <v>1</v>
      </c>
      <c r="P718">
        <v>0</v>
      </c>
      <c r="Q718">
        <v>0</v>
      </c>
      <c r="S718" t="str">
        <f>"13:56:28.031"</f>
        <v>13:56:28.031</v>
      </c>
      <c r="T718" t="str">
        <f>"13:56:27.631"</f>
        <v>13:56:27.631</v>
      </c>
      <c r="U718" t="str">
        <f t="shared" si="37"/>
        <v>A92BC1</v>
      </c>
      <c r="V718">
        <v>0</v>
      </c>
      <c r="W718">
        <v>0</v>
      </c>
      <c r="X718">
        <v>2</v>
      </c>
      <c r="Z718">
        <v>0</v>
      </c>
      <c r="AA718">
        <v>9</v>
      </c>
      <c r="AB718">
        <v>3</v>
      </c>
      <c r="AC718">
        <v>0</v>
      </c>
      <c r="AD718">
        <v>10</v>
      </c>
      <c r="AE718">
        <v>0</v>
      </c>
      <c r="AF718">
        <v>3</v>
      </c>
      <c r="AG718">
        <v>2</v>
      </c>
      <c r="AH718">
        <v>0</v>
      </c>
      <c r="AI718" t="s">
        <v>818</v>
      </c>
      <c r="AJ718">
        <v>45.801293999999999</v>
      </c>
      <c r="AK718" t="s">
        <v>819</v>
      </c>
      <c r="AL718">
        <v>-89.256576999999993</v>
      </c>
      <c r="AM718">
        <v>100</v>
      </c>
      <c r="AN718">
        <v>12800</v>
      </c>
      <c r="AO718" t="s">
        <v>118</v>
      </c>
      <c r="AP718">
        <v>152</v>
      </c>
      <c r="AQ718">
        <v>110</v>
      </c>
      <c r="AR718">
        <v>1408</v>
      </c>
      <c r="AZ718">
        <v>1200</v>
      </c>
      <c r="BA718">
        <v>1</v>
      </c>
      <c r="BB718" t="str">
        <f t="shared" si="36"/>
        <v xml:space="preserve">N690LS  </v>
      </c>
      <c r="BC718">
        <v>1</v>
      </c>
      <c r="BE718">
        <v>0</v>
      </c>
      <c r="BF718">
        <v>0</v>
      </c>
      <c r="BG718">
        <v>0</v>
      </c>
      <c r="BH718">
        <v>13150</v>
      </c>
      <c r="BI718">
        <v>1</v>
      </c>
      <c r="BJ718">
        <v>1</v>
      </c>
      <c r="BK718">
        <v>1</v>
      </c>
      <c r="BL718">
        <v>0</v>
      </c>
      <c r="BO718">
        <v>0</v>
      </c>
      <c r="BP718">
        <v>0</v>
      </c>
      <c r="BW718" t="str">
        <f>"13:56:28.035"</f>
        <v>13:56:28.035</v>
      </c>
      <c r="CJ718">
        <v>0</v>
      </c>
      <c r="CK718">
        <v>2</v>
      </c>
      <c r="CL718">
        <v>0</v>
      </c>
      <c r="CM718">
        <v>2</v>
      </c>
      <c r="CN718">
        <v>0</v>
      </c>
      <c r="CO718">
        <v>6</v>
      </c>
      <c r="CP718" t="s">
        <v>119</v>
      </c>
      <c r="CQ718">
        <v>209</v>
      </c>
      <c r="CR718">
        <v>3</v>
      </c>
      <c r="CW718">
        <v>7220286</v>
      </c>
      <c r="CY718">
        <v>1</v>
      </c>
      <c r="CZ718">
        <v>0</v>
      </c>
      <c r="DA718">
        <v>1</v>
      </c>
      <c r="DB718">
        <v>0</v>
      </c>
      <c r="DC718">
        <v>0</v>
      </c>
      <c r="DD718">
        <v>1</v>
      </c>
      <c r="DE718">
        <v>0</v>
      </c>
      <c r="DF718">
        <v>0</v>
      </c>
      <c r="DG718">
        <v>0</v>
      </c>
      <c r="DH718">
        <v>0</v>
      </c>
      <c r="DI718">
        <v>0</v>
      </c>
    </row>
    <row r="719" spans="1:113" x14ac:dyDescent="0.3">
      <c r="A719" t="str">
        <f>"09/28/2021 13:56:29.220"</f>
        <v>09/28/2021 13:56:29.220</v>
      </c>
      <c r="C719" t="str">
        <f t="shared" si="35"/>
        <v>FFDFD3C0</v>
      </c>
      <c r="D719" t="s">
        <v>113</v>
      </c>
      <c r="E719">
        <v>7</v>
      </c>
      <c r="H719">
        <v>170</v>
      </c>
      <c r="I719" t="s">
        <v>114</v>
      </c>
      <c r="J719" t="s">
        <v>115</v>
      </c>
      <c r="K719">
        <v>0</v>
      </c>
      <c r="L719">
        <v>3</v>
      </c>
      <c r="M719">
        <v>0</v>
      </c>
      <c r="N719">
        <v>2</v>
      </c>
      <c r="O719">
        <v>1</v>
      </c>
      <c r="P719">
        <v>0</v>
      </c>
      <c r="Q719">
        <v>0</v>
      </c>
      <c r="S719" t="str">
        <f>"13:56:29.023"</f>
        <v>13:56:29.023</v>
      </c>
      <c r="T719" t="str">
        <f>"13:56:28.523"</f>
        <v>13:56:28.523</v>
      </c>
      <c r="U719" t="str">
        <f t="shared" si="37"/>
        <v>A92BC1</v>
      </c>
      <c r="V719">
        <v>0</v>
      </c>
      <c r="W719">
        <v>0</v>
      </c>
      <c r="X719">
        <v>2</v>
      </c>
      <c r="Z719">
        <v>0</v>
      </c>
      <c r="AA719">
        <v>9</v>
      </c>
      <c r="AB719">
        <v>3</v>
      </c>
      <c r="AC719">
        <v>0</v>
      </c>
      <c r="AD719">
        <v>10</v>
      </c>
      <c r="AE719">
        <v>0</v>
      </c>
      <c r="AF719">
        <v>3</v>
      </c>
      <c r="AG719">
        <v>2</v>
      </c>
      <c r="AH719">
        <v>0</v>
      </c>
      <c r="AI719" t="s">
        <v>820</v>
      </c>
      <c r="AJ719">
        <v>45.801808999999999</v>
      </c>
      <c r="AK719" t="s">
        <v>821</v>
      </c>
      <c r="AL719">
        <v>-89.255548000000005</v>
      </c>
      <c r="AM719">
        <v>100</v>
      </c>
      <c r="AN719">
        <v>12800</v>
      </c>
      <c r="AO719" t="s">
        <v>118</v>
      </c>
      <c r="AP719">
        <v>152</v>
      </c>
      <c r="AQ719">
        <v>111</v>
      </c>
      <c r="AR719">
        <v>1408</v>
      </c>
      <c r="AZ719">
        <v>1200</v>
      </c>
      <c r="BA719">
        <v>1</v>
      </c>
      <c r="BB719" t="str">
        <f t="shared" si="36"/>
        <v xml:space="preserve">N690LS  </v>
      </c>
      <c r="BC719">
        <v>1</v>
      </c>
      <c r="BE719">
        <v>0</v>
      </c>
      <c r="BF719">
        <v>0</v>
      </c>
      <c r="BG719">
        <v>0</v>
      </c>
      <c r="BH719">
        <v>13175</v>
      </c>
      <c r="BI719">
        <v>1</v>
      </c>
      <c r="BJ719">
        <v>1</v>
      </c>
      <c r="BK719">
        <v>1</v>
      </c>
      <c r="BL719">
        <v>0</v>
      </c>
      <c r="BO719">
        <v>0</v>
      </c>
      <c r="BP719">
        <v>0</v>
      </c>
      <c r="BW719" t="str">
        <f>"13:56:29.027"</f>
        <v>13:56:29.027</v>
      </c>
      <c r="CJ719">
        <v>0</v>
      </c>
      <c r="CK719">
        <v>2</v>
      </c>
      <c r="CL719">
        <v>0</v>
      </c>
      <c r="CM719">
        <v>2</v>
      </c>
      <c r="CN719">
        <v>0</v>
      </c>
      <c r="CO719">
        <v>6</v>
      </c>
      <c r="CP719" t="s">
        <v>119</v>
      </c>
      <c r="CQ719">
        <v>209</v>
      </c>
      <c r="CR719">
        <v>3</v>
      </c>
      <c r="CW719">
        <v>7220600</v>
      </c>
      <c r="CY719">
        <v>1</v>
      </c>
      <c r="CZ719">
        <v>0</v>
      </c>
      <c r="DA719">
        <v>0</v>
      </c>
      <c r="DB719">
        <v>0</v>
      </c>
      <c r="DC719">
        <v>0</v>
      </c>
      <c r="DD719">
        <v>1</v>
      </c>
      <c r="DE719">
        <v>0</v>
      </c>
      <c r="DF719">
        <v>0</v>
      </c>
      <c r="DG719">
        <v>0</v>
      </c>
      <c r="DH719">
        <v>0</v>
      </c>
      <c r="DI719">
        <v>0</v>
      </c>
    </row>
    <row r="720" spans="1:113" x14ac:dyDescent="0.3">
      <c r="A720" t="str">
        <f>"09/28/2021 13:56:29.251"</f>
        <v>09/28/2021 13:56:29.251</v>
      </c>
      <c r="C720" t="str">
        <f t="shared" si="35"/>
        <v>FFDFD3C0</v>
      </c>
      <c r="D720" t="s">
        <v>120</v>
      </c>
      <c r="E720">
        <v>12</v>
      </c>
      <c r="F720">
        <v>1012</v>
      </c>
      <c r="G720" t="s">
        <v>114</v>
      </c>
      <c r="J720" t="s">
        <v>121</v>
      </c>
      <c r="K720">
        <v>0</v>
      </c>
      <c r="L720">
        <v>3</v>
      </c>
      <c r="M720">
        <v>0</v>
      </c>
      <c r="N720">
        <v>2</v>
      </c>
      <c r="O720">
        <v>1</v>
      </c>
      <c r="P720">
        <v>0</v>
      </c>
      <c r="Q720">
        <v>0</v>
      </c>
      <c r="S720" t="str">
        <f>"13:56:29.023"</f>
        <v>13:56:29.023</v>
      </c>
      <c r="T720" t="str">
        <f>"13:56:28.523"</f>
        <v>13:56:28.523</v>
      </c>
      <c r="U720" t="str">
        <f t="shared" si="37"/>
        <v>A92BC1</v>
      </c>
      <c r="V720">
        <v>0</v>
      </c>
      <c r="W720">
        <v>0</v>
      </c>
      <c r="X720">
        <v>2</v>
      </c>
      <c r="Z720">
        <v>0</v>
      </c>
      <c r="AA720">
        <v>9</v>
      </c>
      <c r="AB720">
        <v>3</v>
      </c>
      <c r="AC720">
        <v>0</v>
      </c>
      <c r="AD720">
        <v>10</v>
      </c>
      <c r="AE720">
        <v>0</v>
      </c>
      <c r="AF720">
        <v>3</v>
      </c>
      <c r="AG720">
        <v>2</v>
      </c>
      <c r="AH720">
        <v>0</v>
      </c>
      <c r="AI720" t="s">
        <v>820</v>
      </c>
      <c r="AJ720">
        <v>45.801808999999999</v>
      </c>
      <c r="AK720" t="s">
        <v>821</v>
      </c>
      <c r="AL720">
        <v>-89.255548000000005</v>
      </c>
      <c r="AM720">
        <v>100</v>
      </c>
      <c r="AN720">
        <v>12800</v>
      </c>
      <c r="AO720" t="s">
        <v>118</v>
      </c>
      <c r="AP720">
        <v>152</v>
      </c>
      <c r="AQ720">
        <v>111</v>
      </c>
      <c r="AR720">
        <v>1408</v>
      </c>
      <c r="AZ720">
        <v>1200</v>
      </c>
      <c r="BA720">
        <v>1</v>
      </c>
      <c r="BB720" t="str">
        <f t="shared" si="36"/>
        <v xml:space="preserve">N690LS  </v>
      </c>
      <c r="BC720">
        <v>1</v>
      </c>
      <c r="BE720">
        <v>0</v>
      </c>
      <c r="BF720">
        <v>0</v>
      </c>
      <c r="BG720">
        <v>0</v>
      </c>
      <c r="BH720">
        <v>13175</v>
      </c>
      <c r="BI720">
        <v>1</v>
      </c>
      <c r="BJ720">
        <v>1</v>
      </c>
      <c r="BK720">
        <v>1</v>
      </c>
      <c r="BL720">
        <v>0</v>
      </c>
      <c r="BO720">
        <v>0</v>
      </c>
      <c r="BP720">
        <v>0</v>
      </c>
      <c r="BW720" t="str">
        <f>"13:56:29.027"</f>
        <v>13:56:29.027</v>
      </c>
      <c r="CJ720">
        <v>0</v>
      </c>
      <c r="CK720">
        <v>2</v>
      </c>
      <c r="CL720">
        <v>0</v>
      </c>
      <c r="CM720">
        <v>2</v>
      </c>
      <c r="CN720">
        <v>0</v>
      </c>
      <c r="CO720">
        <v>6</v>
      </c>
      <c r="CP720" t="s">
        <v>119</v>
      </c>
      <c r="CQ720">
        <v>209</v>
      </c>
      <c r="CR720">
        <v>3</v>
      </c>
      <c r="CW720">
        <v>7220600</v>
      </c>
      <c r="CY720">
        <v>1</v>
      </c>
      <c r="CZ720">
        <v>0</v>
      </c>
      <c r="DA720">
        <v>1</v>
      </c>
      <c r="DB720">
        <v>0</v>
      </c>
      <c r="DC720">
        <v>0</v>
      </c>
      <c r="DD720">
        <v>1</v>
      </c>
      <c r="DE720">
        <v>0</v>
      </c>
      <c r="DF720">
        <v>0</v>
      </c>
      <c r="DG720">
        <v>0</v>
      </c>
      <c r="DH720">
        <v>0</v>
      </c>
      <c r="DI720">
        <v>0</v>
      </c>
    </row>
    <row r="721" spans="1:113" x14ac:dyDescent="0.3">
      <c r="A721" t="str">
        <f>"09/28/2021 13:56:30.330"</f>
        <v>09/28/2021 13:56:30.330</v>
      </c>
      <c r="C721" t="str">
        <f t="shared" si="35"/>
        <v>FFDFD3C0</v>
      </c>
      <c r="D721" t="s">
        <v>113</v>
      </c>
      <c r="E721">
        <v>7</v>
      </c>
      <c r="H721">
        <v>170</v>
      </c>
      <c r="I721" t="s">
        <v>114</v>
      </c>
      <c r="J721" t="s">
        <v>115</v>
      </c>
      <c r="K721">
        <v>0</v>
      </c>
      <c r="L721">
        <v>3</v>
      </c>
      <c r="M721">
        <v>0</v>
      </c>
      <c r="N721">
        <v>2</v>
      </c>
      <c r="O721">
        <v>1</v>
      </c>
      <c r="P721">
        <v>0</v>
      </c>
      <c r="Q721">
        <v>0</v>
      </c>
      <c r="S721" t="str">
        <f>"13:56:30.094"</f>
        <v>13:56:30.094</v>
      </c>
      <c r="T721" t="str">
        <f>"13:56:29.594"</f>
        <v>13:56:29.594</v>
      </c>
      <c r="U721" t="str">
        <f t="shared" si="37"/>
        <v>A92BC1</v>
      </c>
      <c r="V721">
        <v>0</v>
      </c>
      <c r="W721">
        <v>0</v>
      </c>
      <c r="X721">
        <v>2</v>
      </c>
      <c r="Z721">
        <v>0</v>
      </c>
      <c r="AA721">
        <v>9</v>
      </c>
      <c r="AB721">
        <v>3</v>
      </c>
      <c r="AC721">
        <v>0</v>
      </c>
      <c r="AD721">
        <v>10</v>
      </c>
      <c r="AE721">
        <v>0</v>
      </c>
      <c r="AF721">
        <v>3</v>
      </c>
      <c r="AG721">
        <v>2</v>
      </c>
      <c r="AH721">
        <v>0</v>
      </c>
      <c r="AI721" t="s">
        <v>822</v>
      </c>
      <c r="AJ721">
        <v>45.802323999999999</v>
      </c>
      <c r="AK721" t="s">
        <v>823</v>
      </c>
      <c r="AL721">
        <v>-89.254581999999999</v>
      </c>
      <c r="AM721">
        <v>100</v>
      </c>
      <c r="AN721">
        <v>12800</v>
      </c>
      <c r="AO721" t="s">
        <v>118</v>
      </c>
      <c r="AP721">
        <v>152</v>
      </c>
      <c r="AQ721">
        <v>111</v>
      </c>
      <c r="AR721">
        <v>1408</v>
      </c>
      <c r="AZ721">
        <v>1200</v>
      </c>
      <c r="BA721">
        <v>1</v>
      </c>
      <c r="BB721" t="str">
        <f t="shared" si="36"/>
        <v xml:space="preserve">N690LS  </v>
      </c>
      <c r="BC721">
        <v>1</v>
      </c>
      <c r="BE721">
        <v>0</v>
      </c>
      <c r="BF721">
        <v>0</v>
      </c>
      <c r="BG721">
        <v>0</v>
      </c>
      <c r="BH721">
        <v>13200</v>
      </c>
      <c r="BI721">
        <v>1</v>
      </c>
      <c r="BJ721">
        <v>1</v>
      </c>
      <c r="BK721">
        <v>1</v>
      </c>
      <c r="BL721">
        <v>0</v>
      </c>
      <c r="BO721">
        <v>0</v>
      </c>
      <c r="BP721">
        <v>0</v>
      </c>
      <c r="BW721" t="str">
        <f>"13:56:30.100"</f>
        <v>13:56:30.100</v>
      </c>
      <c r="CJ721">
        <v>0</v>
      </c>
      <c r="CK721">
        <v>2</v>
      </c>
      <c r="CL721">
        <v>0</v>
      </c>
      <c r="CM721">
        <v>2</v>
      </c>
      <c r="CN721">
        <v>0</v>
      </c>
      <c r="CO721">
        <v>6</v>
      </c>
      <c r="CP721" t="s">
        <v>119</v>
      </c>
      <c r="CQ721">
        <v>209</v>
      </c>
      <c r="CR721">
        <v>3</v>
      </c>
      <c r="CW721">
        <v>7220931</v>
      </c>
      <c r="CY721">
        <v>1</v>
      </c>
      <c r="CZ721">
        <v>0</v>
      </c>
      <c r="DA721">
        <v>0</v>
      </c>
      <c r="DB721">
        <v>0</v>
      </c>
      <c r="DC721">
        <v>0</v>
      </c>
      <c r="DD721">
        <v>1</v>
      </c>
      <c r="DE721">
        <v>0</v>
      </c>
      <c r="DF721">
        <v>0</v>
      </c>
      <c r="DG721">
        <v>0</v>
      </c>
      <c r="DH721">
        <v>0</v>
      </c>
      <c r="DI721">
        <v>0</v>
      </c>
    </row>
    <row r="722" spans="1:113" x14ac:dyDescent="0.3">
      <c r="A722" t="str">
        <f>"09/28/2021 13:56:30.314"</f>
        <v>09/28/2021 13:56:30.314</v>
      </c>
      <c r="C722" t="str">
        <f t="shared" si="35"/>
        <v>FFDFD3C0</v>
      </c>
      <c r="D722" t="s">
        <v>120</v>
      </c>
      <c r="E722">
        <v>12</v>
      </c>
      <c r="F722">
        <v>1012</v>
      </c>
      <c r="G722" t="s">
        <v>114</v>
      </c>
      <c r="J722" t="s">
        <v>121</v>
      </c>
      <c r="K722">
        <v>0</v>
      </c>
      <c r="L722">
        <v>3</v>
      </c>
      <c r="M722">
        <v>0</v>
      </c>
      <c r="N722">
        <v>2</v>
      </c>
      <c r="O722">
        <v>1</v>
      </c>
      <c r="P722">
        <v>0</v>
      </c>
      <c r="Q722">
        <v>0</v>
      </c>
      <c r="S722" t="str">
        <f>"13:56:30.094"</f>
        <v>13:56:30.094</v>
      </c>
      <c r="T722" t="str">
        <f>"13:56:29.594"</f>
        <v>13:56:29.594</v>
      </c>
      <c r="U722" t="str">
        <f t="shared" si="37"/>
        <v>A92BC1</v>
      </c>
      <c r="V722">
        <v>0</v>
      </c>
      <c r="W722">
        <v>0</v>
      </c>
      <c r="X722">
        <v>2</v>
      </c>
      <c r="Z722">
        <v>0</v>
      </c>
      <c r="AA722">
        <v>9</v>
      </c>
      <c r="AB722">
        <v>3</v>
      </c>
      <c r="AC722">
        <v>0</v>
      </c>
      <c r="AD722">
        <v>10</v>
      </c>
      <c r="AE722">
        <v>0</v>
      </c>
      <c r="AF722">
        <v>3</v>
      </c>
      <c r="AG722">
        <v>2</v>
      </c>
      <c r="AH722">
        <v>0</v>
      </c>
      <c r="AI722" t="s">
        <v>822</v>
      </c>
      <c r="AJ722">
        <v>45.802323999999999</v>
      </c>
      <c r="AK722" t="s">
        <v>823</v>
      </c>
      <c r="AL722">
        <v>-89.254581999999999</v>
      </c>
      <c r="AM722">
        <v>100</v>
      </c>
      <c r="AN722">
        <v>12800</v>
      </c>
      <c r="AO722" t="s">
        <v>118</v>
      </c>
      <c r="AP722">
        <v>152</v>
      </c>
      <c r="AQ722">
        <v>111</v>
      </c>
      <c r="AR722">
        <v>1408</v>
      </c>
      <c r="AZ722">
        <v>1200</v>
      </c>
      <c r="BA722">
        <v>1</v>
      </c>
      <c r="BB722" t="str">
        <f t="shared" si="36"/>
        <v xml:space="preserve">N690LS  </v>
      </c>
      <c r="BC722">
        <v>1</v>
      </c>
      <c r="BE722">
        <v>0</v>
      </c>
      <c r="BF722">
        <v>0</v>
      </c>
      <c r="BG722">
        <v>0</v>
      </c>
      <c r="BH722">
        <v>13200</v>
      </c>
      <c r="BI722">
        <v>1</v>
      </c>
      <c r="BJ722">
        <v>1</v>
      </c>
      <c r="BK722">
        <v>1</v>
      </c>
      <c r="BL722">
        <v>0</v>
      </c>
      <c r="BO722">
        <v>0</v>
      </c>
      <c r="BP722">
        <v>0</v>
      </c>
      <c r="BW722" t="str">
        <f>"13:56:30.100"</f>
        <v>13:56:30.100</v>
      </c>
      <c r="CJ722">
        <v>0</v>
      </c>
      <c r="CK722">
        <v>2</v>
      </c>
      <c r="CL722">
        <v>0</v>
      </c>
      <c r="CM722">
        <v>2</v>
      </c>
      <c r="CN722">
        <v>0</v>
      </c>
      <c r="CO722">
        <v>6</v>
      </c>
      <c r="CP722" t="s">
        <v>119</v>
      </c>
      <c r="CQ722">
        <v>209</v>
      </c>
      <c r="CR722">
        <v>3</v>
      </c>
      <c r="CW722">
        <v>7220931</v>
      </c>
      <c r="CY722">
        <v>1</v>
      </c>
      <c r="CZ722">
        <v>0</v>
      </c>
      <c r="DA722">
        <v>1</v>
      </c>
      <c r="DB722">
        <v>0</v>
      </c>
      <c r="DC722">
        <v>0</v>
      </c>
      <c r="DD722">
        <v>1</v>
      </c>
      <c r="DE722">
        <v>0</v>
      </c>
      <c r="DF722">
        <v>0</v>
      </c>
      <c r="DG722">
        <v>0</v>
      </c>
      <c r="DH722">
        <v>0</v>
      </c>
      <c r="DI722">
        <v>0</v>
      </c>
    </row>
    <row r="723" spans="1:113" x14ac:dyDescent="0.3">
      <c r="A723" t="str">
        <f>"09/28/2021 13:56:31.252"</f>
        <v>09/28/2021 13:56:31.252</v>
      </c>
      <c r="C723" t="str">
        <f t="shared" si="35"/>
        <v>FFDFD3C0</v>
      </c>
      <c r="D723" t="s">
        <v>113</v>
      </c>
      <c r="E723">
        <v>7</v>
      </c>
      <c r="H723">
        <v>170</v>
      </c>
      <c r="I723" t="s">
        <v>114</v>
      </c>
      <c r="J723" t="s">
        <v>115</v>
      </c>
      <c r="K723">
        <v>0</v>
      </c>
      <c r="L723">
        <v>3</v>
      </c>
      <c r="M723">
        <v>0</v>
      </c>
      <c r="N723">
        <v>2</v>
      </c>
      <c r="O723">
        <v>1</v>
      </c>
      <c r="P723">
        <v>0</v>
      </c>
      <c r="Q723">
        <v>0</v>
      </c>
      <c r="S723" t="str">
        <f>"13:56:31.039"</f>
        <v>13:56:31.039</v>
      </c>
      <c r="T723" t="str">
        <f>"13:56:30.539"</f>
        <v>13:56:30.539</v>
      </c>
      <c r="U723" t="str">
        <f t="shared" si="37"/>
        <v>A92BC1</v>
      </c>
      <c r="V723">
        <v>0</v>
      </c>
      <c r="W723">
        <v>0</v>
      </c>
      <c r="X723">
        <v>2</v>
      </c>
      <c r="Z723">
        <v>0</v>
      </c>
      <c r="AA723">
        <v>9</v>
      </c>
      <c r="AB723">
        <v>3</v>
      </c>
      <c r="AC723">
        <v>0</v>
      </c>
      <c r="AD723">
        <v>10</v>
      </c>
      <c r="AE723">
        <v>0</v>
      </c>
      <c r="AF723">
        <v>3</v>
      </c>
      <c r="AG723">
        <v>2</v>
      </c>
      <c r="AH723">
        <v>0</v>
      </c>
      <c r="AI723" t="s">
        <v>824</v>
      </c>
      <c r="AJ723">
        <v>45.802838999999999</v>
      </c>
      <c r="AK723" t="s">
        <v>825</v>
      </c>
      <c r="AL723">
        <v>-89.253551999999999</v>
      </c>
      <c r="AM723">
        <v>100</v>
      </c>
      <c r="AN723">
        <v>12800</v>
      </c>
      <c r="AO723" t="s">
        <v>118</v>
      </c>
      <c r="AP723">
        <v>152</v>
      </c>
      <c r="AQ723">
        <v>111</v>
      </c>
      <c r="AR723">
        <v>1344</v>
      </c>
      <c r="AZ723">
        <v>1200</v>
      </c>
      <c r="BA723">
        <v>1</v>
      </c>
      <c r="BB723" t="str">
        <f t="shared" si="36"/>
        <v xml:space="preserve">N690LS  </v>
      </c>
      <c r="BC723">
        <v>1</v>
      </c>
      <c r="BE723">
        <v>0</v>
      </c>
      <c r="BF723">
        <v>0</v>
      </c>
      <c r="BG723">
        <v>0</v>
      </c>
      <c r="BH723">
        <v>13225</v>
      </c>
      <c r="BI723">
        <v>1</v>
      </c>
      <c r="BJ723">
        <v>1</v>
      </c>
      <c r="BK723">
        <v>1</v>
      </c>
      <c r="BL723">
        <v>0</v>
      </c>
      <c r="BO723">
        <v>0</v>
      </c>
      <c r="BP723">
        <v>0</v>
      </c>
      <c r="BW723" t="str">
        <f>"13:56:31.047"</f>
        <v>13:56:31.047</v>
      </c>
      <c r="CJ723">
        <v>0</v>
      </c>
      <c r="CK723">
        <v>2</v>
      </c>
      <c r="CL723">
        <v>0</v>
      </c>
      <c r="CM723">
        <v>2</v>
      </c>
      <c r="CN723">
        <v>0</v>
      </c>
      <c r="CO723">
        <v>7</v>
      </c>
      <c r="CP723" t="s">
        <v>119</v>
      </c>
      <c r="CQ723">
        <v>197</v>
      </c>
      <c r="CR723">
        <v>1</v>
      </c>
      <c r="CW723">
        <v>7358370</v>
      </c>
      <c r="CY723">
        <v>1</v>
      </c>
      <c r="CZ723">
        <v>0</v>
      </c>
      <c r="DA723">
        <v>0</v>
      </c>
      <c r="DB723">
        <v>0</v>
      </c>
      <c r="DC723">
        <v>0</v>
      </c>
      <c r="DD723">
        <v>1</v>
      </c>
      <c r="DE723">
        <v>0</v>
      </c>
      <c r="DF723">
        <v>0</v>
      </c>
      <c r="DG723">
        <v>0</v>
      </c>
      <c r="DH723">
        <v>0</v>
      </c>
      <c r="DI723">
        <v>0</v>
      </c>
    </row>
    <row r="724" spans="1:113" x14ac:dyDescent="0.3">
      <c r="A724" t="str">
        <f>"09/28/2021 13:56:31.252"</f>
        <v>09/28/2021 13:56:31.252</v>
      </c>
      <c r="C724" t="str">
        <f t="shared" si="35"/>
        <v>FFDFD3C0</v>
      </c>
      <c r="D724" t="s">
        <v>120</v>
      </c>
      <c r="E724">
        <v>12</v>
      </c>
      <c r="F724">
        <v>1012</v>
      </c>
      <c r="G724" t="s">
        <v>114</v>
      </c>
      <c r="J724" t="s">
        <v>121</v>
      </c>
      <c r="K724">
        <v>0</v>
      </c>
      <c r="L724">
        <v>3</v>
      </c>
      <c r="M724">
        <v>0</v>
      </c>
      <c r="N724">
        <v>2</v>
      </c>
      <c r="O724">
        <v>1</v>
      </c>
      <c r="P724">
        <v>0</v>
      </c>
      <c r="Q724">
        <v>0</v>
      </c>
      <c r="S724" t="str">
        <f>"13:56:31.039"</f>
        <v>13:56:31.039</v>
      </c>
      <c r="T724" t="str">
        <f>"13:56:30.539"</f>
        <v>13:56:30.539</v>
      </c>
      <c r="U724" t="str">
        <f t="shared" si="37"/>
        <v>A92BC1</v>
      </c>
      <c r="V724">
        <v>0</v>
      </c>
      <c r="W724">
        <v>0</v>
      </c>
      <c r="X724">
        <v>2</v>
      </c>
      <c r="Z724">
        <v>0</v>
      </c>
      <c r="AA724">
        <v>9</v>
      </c>
      <c r="AB724">
        <v>3</v>
      </c>
      <c r="AC724">
        <v>0</v>
      </c>
      <c r="AD724">
        <v>10</v>
      </c>
      <c r="AE724">
        <v>0</v>
      </c>
      <c r="AF724">
        <v>3</v>
      </c>
      <c r="AG724">
        <v>2</v>
      </c>
      <c r="AH724">
        <v>0</v>
      </c>
      <c r="AI724" t="s">
        <v>824</v>
      </c>
      <c r="AJ724">
        <v>45.802838999999999</v>
      </c>
      <c r="AK724" t="s">
        <v>825</v>
      </c>
      <c r="AL724">
        <v>-89.253551999999999</v>
      </c>
      <c r="AM724">
        <v>100</v>
      </c>
      <c r="AN724">
        <v>12800</v>
      </c>
      <c r="AO724" t="s">
        <v>118</v>
      </c>
      <c r="AP724">
        <v>152</v>
      </c>
      <c r="AQ724">
        <v>111</v>
      </c>
      <c r="AR724">
        <v>1344</v>
      </c>
      <c r="AZ724">
        <v>1200</v>
      </c>
      <c r="BA724">
        <v>1</v>
      </c>
      <c r="BB724" t="str">
        <f t="shared" si="36"/>
        <v xml:space="preserve">N690LS  </v>
      </c>
      <c r="BC724">
        <v>1</v>
      </c>
      <c r="BE724">
        <v>0</v>
      </c>
      <c r="BF724">
        <v>0</v>
      </c>
      <c r="BG724">
        <v>0</v>
      </c>
      <c r="BH724">
        <v>13225</v>
      </c>
      <c r="BI724">
        <v>1</v>
      </c>
      <c r="BJ724">
        <v>1</v>
      </c>
      <c r="BK724">
        <v>1</v>
      </c>
      <c r="BL724">
        <v>0</v>
      </c>
      <c r="BO724">
        <v>0</v>
      </c>
      <c r="BP724">
        <v>0</v>
      </c>
      <c r="BW724" t="str">
        <f>"13:56:31.047"</f>
        <v>13:56:31.047</v>
      </c>
      <c r="CJ724">
        <v>0</v>
      </c>
      <c r="CK724">
        <v>2</v>
      </c>
      <c r="CL724">
        <v>0</v>
      </c>
      <c r="CM724">
        <v>2</v>
      </c>
      <c r="CN724">
        <v>0</v>
      </c>
      <c r="CO724">
        <v>7</v>
      </c>
      <c r="CP724" t="s">
        <v>119</v>
      </c>
      <c r="CQ724">
        <v>197</v>
      </c>
      <c r="CR724">
        <v>1</v>
      </c>
      <c r="CW724">
        <v>7358370</v>
      </c>
      <c r="CY724">
        <v>1</v>
      </c>
      <c r="CZ724">
        <v>0</v>
      </c>
      <c r="DA724">
        <v>1</v>
      </c>
      <c r="DB724">
        <v>0</v>
      </c>
      <c r="DC724">
        <v>0</v>
      </c>
      <c r="DD724">
        <v>1</v>
      </c>
      <c r="DE724">
        <v>0</v>
      </c>
      <c r="DF724">
        <v>0</v>
      </c>
      <c r="DG724">
        <v>0</v>
      </c>
      <c r="DH724">
        <v>0</v>
      </c>
      <c r="DI724">
        <v>0</v>
      </c>
    </row>
    <row r="725" spans="1:113" x14ac:dyDescent="0.3">
      <c r="A725" t="str">
        <f>"09/28/2021 13:56:32.308"</f>
        <v>09/28/2021 13:56:32.308</v>
      </c>
      <c r="C725" t="str">
        <f t="shared" si="35"/>
        <v>FFDFD3C0</v>
      </c>
      <c r="D725" t="s">
        <v>113</v>
      </c>
      <c r="E725">
        <v>7</v>
      </c>
      <c r="H725">
        <v>170</v>
      </c>
      <c r="I725" t="s">
        <v>114</v>
      </c>
      <c r="J725" t="s">
        <v>115</v>
      </c>
      <c r="K725">
        <v>0</v>
      </c>
      <c r="L725">
        <v>3</v>
      </c>
      <c r="M725">
        <v>0</v>
      </c>
      <c r="N725">
        <v>2</v>
      </c>
      <c r="O725">
        <v>1</v>
      </c>
      <c r="P725">
        <v>0</v>
      </c>
      <c r="Q725">
        <v>0</v>
      </c>
      <c r="S725" t="str">
        <f>"13:56:32.039"</f>
        <v>13:56:32.039</v>
      </c>
      <c r="T725" t="str">
        <f>"13:56:31.539"</f>
        <v>13:56:31.539</v>
      </c>
      <c r="U725" t="str">
        <f t="shared" si="37"/>
        <v>A92BC1</v>
      </c>
      <c r="V725">
        <v>0</v>
      </c>
      <c r="W725">
        <v>0</v>
      </c>
      <c r="X725">
        <v>2</v>
      </c>
      <c r="Z725">
        <v>0</v>
      </c>
      <c r="AA725">
        <v>9</v>
      </c>
      <c r="AB725">
        <v>3</v>
      </c>
      <c r="AC725">
        <v>0</v>
      </c>
      <c r="AD725">
        <v>10</v>
      </c>
      <c r="AE725">
        <v>0</v>
      </c>
      <c r="AF725">
        <v>3</v>
      </c>
      <c r="AG725">
        <v>2</v>
      </c>
      <c r="AH725">
        <v>0</v>
      </c>
      <c r="AI725" t="s">
        <v>826</v>
      </c>
      <c r="AJ725">
        <v>45.803353999999999</v>
      </c>
      <c r="AK725" t="s">
        <v>827</v>
      </c>
      <c r="AL725">
        <v>-89.252521999999999</v>
      </c>
      <c r="AM725">
        <v>100</v>
      </c>
      <c r="AN725">
        <v>12900</v>
      </c>
      <c r="AO725" t="s">
        <v>118</v>
      </c>
      <c r="AP725">
        <v>152</v>
      </c>
      <c r="AQ725">
        <v>111</v>
      </c>
      <c r="AR725">
        <v>1344</v>
      </c>
      <c r="AZ725">
        <v>1200</v>
      </c>
      <c r="BA725">
        <v>1</v>
      </c>
      <c r="BB725" t="str">
        <f t="shared" si="36"/>
        <v xml:space="preserve">N690LS  </v>
      </c>
      <c r="BC725">
        <v>1</v>
      </c>
      <c r="BE725">
        <v>0</v>
      </c>
      <c r="BF725">
        <v>0</v>
      </c>
      <c r="BG725">
        <v>0</v>
      </c>
      <c r="BH725">
        <v>13250</v>
      </c>
      <c r="BI725">
        <v>1</v>
      </c>
      <c r="BJ725">
        <v>1</v>
      </c>
      <c r="BK725">
        <v>1</v>
      </c>
      <c r="BL725">
        <v>0</v>
      </c>
      <c r="BO725">
        <v>0</v>
      </c>
      <c r="BP725">
        <v>0</v>
      </c>
      <c r="BW725" t="str">
        <f>"13:56:32.044"</f>
        <v>13:56:32.044</v>
      </c>
      <c r="CJ725">
        <v>0</v>
      </c>
      <c r="CK725">
        <v>2</v>
      </c>
      <c r="CL725">
        <v>0</v>
      </c>
      <c r="CM725">
        <v>2</v>
      </c>
      <c r="CN725">
        <v>0</v>
      </c>
      <c r="CO725">
        <v>7</v>
      </c>
      <c r="CP725" t="s">
        <v>119</v>
      </c>
      <c r="CQ725">
        <v>197</v>
      </c>
      <c r="CR725">
        <v>1</v>
      </c>
      <c r="CW725">
        <v>7359437</v>
      </c>
      <c r="CY725">
        <v>1</v>
      </c>
      <c r="CZ725">
        <v>0</v>
      </c>
      <c r="DA725">
        <v>0</v>
      </c>
      <c r="DB725">
        <v>0</v>
      </c>
      <c r="DC725">
        <v>0</v>
      </c>
      <c r="DD725">
        <v>1</v>
      </c>
      <c r="DE725">
        <v>0</v>
      </c>
      <c r="DF725">
        <v>0</v>
      </c>
      <c r="DG725">
        <v>0</v>
      </c>
      <c r="DH725">
        <v>0</v>
      </c>
      <c r="DI725">
        <v>0</v>
      </c>
    </row>
    <row r="726" spans="1:113" x14ac:dyDescent="0.3">
      <c r="A726" t="str">
        <f>"09/28/2021 13:56:32.323"</f>
        <v>09/28/2021 13:56:32.323</v>
      </c>
      <c r="C726" t="str">
        <f t="shared" si="35"/>
        <v>FFDFD3C0</v>
      </c>
      <c r="D726" t="s">
        <v>120</v>
      </c>
      <c r="E726">
        <v>12</v>
      </c>
      <c r="F726">
        <v>1012</v>
      </c>
      <c r="G726" t="s">
        <v>114</v>
      </c>
      <c r="J726" t="s">
        <v>121</v>
      </c>
      <c r="K726">
        <v>0</v>
      </c>
      <c r="L726">
        <v>3</v>
      </c>
      <c r="M726">
        <v>0</v>
      </c>
      <c r="N726">
        <v>2</v>
      </c>
      <c r="O726">
        <v>1</v>
      </c>
      <c r="P726">
        <v>0</v>
      </c>
      <c r="Q726">
        <v>0</v>
      </c>
      <c r="S726" t="str">
        <f>"13:56:32.039"</f>
        <v>13:56:32.039</v>
      </c>
      <c r="T726" t="str">
        <f>"13:56:31.539"</f>
        <v>13:56:31.539</v>
      </c>
      <c r="U726" t="str">
        <f t="shared" si="37"/>
        <v>A92BC1</v>
      </c>
      <c r="V726">
        <v>0</v>
      </c>
      <c r="W726">
        <v>0</v>
      </c>
      <c r="X726">
        <v>2</v>
      </c>
      <c r="Z726">
        <v>0</v>
      </c>
      <c r="AA726">
        <v>9</v>
      </c>
      <c r="AB726">
        <v>3</v>
      </c>
      <c r="AC726">
        <v>0</v>
      </c>
      <c r="AD726">
        <v>10</v>
      </c>
      <c r="AE726">
        <v>0</v>
      </c>
      <c r="AF726">
        <v>3</v>
      </c>
      <c r="AG726">
        <v>2</v>
      </c>
      <c r="AH726">
        <v>0</v>
      </c>
      <c r="AI726" t="s">
        <v>826</v>
      </c>
      <c r="AJ726">
        <v>45.803353999999999</v>
      </c>
      <c r="AK726" t="s">
        <v>827</v>
      </c>
      <c r="AL726">
        <v>-89.252521999999999</v>
      </c>
      <c r="AM726">
        <v>100</v>
      </c>
      <c r="AN726">
        <v>12900</v>
      </c>
      <c r="AO726" t="s">
        <v>118</v>
      </c>
      <c r="AP726">
        <v>152</v>
      </c>
      <c r="AQ726">
        <v>111</v>
      </c>
      <c r="AR726">
        <v>1344</v>
      </c>
      <c r="AZ726">
        <v>1200</v>
      </c>
      <c r="BA726">
        <v>1</v>
      </c>
      <c r="BB726" t="str">
        <f t="shared" si="36"/>
        <v xml:space="preserve">N690LS  </v>
      </c>
      <c r="BC726">
        <v>1</v>
      </c>
      <c r="BE726">
        <v>0</v>
      </c>
      <c r="BF726">
        <v>0</v>
      </c>
      <c r="BG726">
        <v>0</v>
      </c>
      <c r="BH726">
        <v>13250</v>
      </c>
      <c r="BI726">
        <v>1</v>
      </c>
      <c r="BJ726">
        <v>1</v>
      </c>
      <c r="BK726">
        <v>1</v>
      </c>
      <c r="BL726">
        <v>0</v>
      </c>
      <c r="BO726">
        <v>0</v>
      </c>
      <c r="BP726">
        <v>0</v>
      </c>
      <c r="BW726" t="str">
        <f>"13:56:32.044"</f>
        <v>13:56:32.044</v>
      </c>
      <c r="CJ726">
        <v>0</v>
      </c>
      <c r="CK726">
        <v>2</v>
      </c>
      <c r="CL726">
        <v>0</v>
      </c>
      <c r="CM726">
        <v>2</v>
      </c>
      <c r="CN726">
        <v>0</v>
      </c>
      <c r="CO726">
        <v>7</v>
      </c>
      <c r="CP726" t="s">
        <v>119</v>
      </c>
      <c r="CQ726">
        <v>197</v>
      </c>
      <c r="CR726">
        <v>1</v>
      </c>
      <c r="CW726">
        <v>7359437</v>
      </c>
      <c r="CY726">
        <v>1</v>
      </c>
      <c r="CZ726">
        <v>0</v>
      </c>
      <c r="DA726">
        <v>1</v>
      </c>
      <c r="DB726">
        <v>0</v>
      </c>
      <c r="DC726">
        <v>0</v>
      </c>
      <c r="DD726">
        <v>1</v>
      </c>
      <c r="DE726">
        <v>0</v>
      </c>
      <c r="DF726">
        <v>0</v>
      </c>
      <c r="DG726">
        <v>0</v>
      </c>
      <c r="DH726">
        <v>0</v>
      </c>
      <c r="DI726">
        <v>0</v>
      </c>
    </row>
    <row r="727" spans="1:113" x14ac:dyDescent="0.3">
      <c r="A727" t="str">
        <f>"09/28/2021 13:56:33.058"</f>
        <v>09/28/2021 13:56:33.058</v>
      </c>
      <c r="C727" t="str">
        <f t="shared" si="35"/>
        <v>FFDFD3C0</v>
      </c>
      <c r="D727" t="s">
        <v>113</v>
      </c>
      <c r="E727">
        <v>7</v>
      </c>
      <c r="H727">
        <v>170</v>
      </c>
      <c r="I727" t="s">
        <v>114</v>
      </c>
      <c r="J727" t="s">
        <v>115</v>
      </c>
      <c r="K727">
        <v>0</v>
      </c>
      <c r="L727">
        <v>3</v>
      </c>
      <c r="M727">
        <v>0</v>
      </c>
      <c r="N727">
        <v>2</v>
      </c>
      <c r="O727">
        <v>1</v>
      </c>
      <c r="P727">
        <v>0</v>
      </c>
      <c r="Q727">
        <v>0</v>
      </c>
      <c r="S727" t="str">
        <f>"13:56:32.883"</f>
        <v>13:56:32.883</v>
      </c>
      <c r="T727" t="str">
        <f>"13:56:32.483"</f>
        <v>13:56:32.483</v>
      </c>
      <c r="U727" t="str">
        <f t="shared" si="37"/>
        <v>A92BC1</v>
      </c>
      <c r="V727">
        <v>0</v>
      </c>
      <c r="W727">
        <v>0</v>
      </c>
      <c r="X727">
        <v>2</v>
      </c>
      <c r="Z727">
        <v>0</v>
      </c>
      <c r="AA727">
        <v>9</v>
      </c>
      <c r="AB727">
        <v>3</v>
      </c>
      <c r="AC727">
        <v>0</v>
      </c>
      <c r="AD727">
        <v>10</v>
      </c>
      <c r="AE727">
        <v>0</v>
      </c>
      <c r="AF727">
        <v>3</v>
      </c>
      <c r="AG727">
        <v>2</v>
      </c>
      <c r="AH727">
        <v>0</v>
      </c>
      <c r="AI727" t="s">
        <v>828</v>
      </c>
      <c r="AJ727">
        <v>45.803761000000002</v>
      </c>
      <c r="AK727" t="s">
        <v>829</v>
      </c>
      <c r="AL727">
        <v>-89.251771000000005</v>
      </c>
      <c r="AM727">
        <v>100</v>
      </c>
      <c r="AN727">
        <v>12900</v>
      </c>
      <c r="AO727" t="s">
        <v>118</v>
      </c>
      <c r="AP727">
        <v>152</v>
      </c>
      <c r="AQ727">
        <v>111</v>
      </c>
      <c r="AR727">
        <v>1408</v>
      </c>
      <c r="AZ727">
        <v>1200</v>
      </c>
      <c r="BA727">
        <v>1</v>
      </c>
      <c r="BB727" t="str">
        <f t="shared" si="36"/>
        <v xml:space="preserve">N690LS  </v>
      </c>
      <c r="BC727">
        <v>1</v>
      </c>
      <c r="BE727">
        <v>0</v>
      </c>
      <c r="BF727">
        <v>0</v>
      </c>
      <c r="BG727">
        <v>0</v>
      </c>
      <c r="BH727">
        <v>13275</v>
      </c>
      <c r="BI727">
        <v>1</v>
      </c>
      <c r="BJ727">
        <v>1</v>
      </c>
      <c r="BK727">
        <v>1</v>
      </c>
      <c r="BL727">
        <v>0</v>
      </c>
      <c r="BO727">
        <v>0</v>
      </c>
      <c r="BP727">
        <v>0</v>
      </c>
      <c r="BW727" t="str">
        <f>"13:56:32.885"</f>
        <v>13:56:32.885</v>
      </c>
      <c r="CJ727">
        <v>0</v>
      </c>
      <c r="CK727">
        <v>2</v>
      </c>
      <c r="CL727">
        <v>0</v>
      </c>
      <c r="CM727">
        <v>2</v>
      </c>
      <c r="CN727">
        <v>0</v>
      </c>
      <c r="CO727">
        <v>6</v>
      </c>
      <c r="CP727" t="s">
        <v>119</v>
      </c>
      <c r="CQ727">
        <v>209</v>
      </c>
      <c r="CR727">
        <v>3</v>
      </c>
      <c r="CW727">
        <v>7221853</v>
      </c>
      <c r="CY727">
        <v>1</v>
      </c>
      <c r="CZ727">
        <v>0</v>
      </c>
      <c r="DA727">
        <v>0</v>
      </c>
      <c r="DB727">
        <v>0</v>
      </c>
      <c r="DC727">
        <v>0</v>
      </c>
      <c r="DD727">
        <v>1</v>
      </c>
      <c r="DE727">
        <v>0</v>
      </c>
      <c r="DF727">
        <v>0</v>
      </c>
      <c r="DG727">
        <v>0</v>
      </c>
      <c r="DH727">
        <v>0</v>
      </c>
      <c r="DI727">
        <v>0</v>
      </c>
    </row>
    <row r="728" spans="1:113" x14ac:dyDescent="0.3">
      <c r="A728" t="str">
        <f>"09/28/2021 13:56:33.136"</f>
        <v>09/28/2021 13:56:33.136</v>
      </c>
      <c r="C728" t="str">
        <f t="shared" si="35"/>
        <v>FFDFD3C0</v>
      </c>
      <c r="D728" t="s">
        <v>120</v>
      </c>
      <c r="E728">
        <v>12</v>
      </c>
      <c r="F728">
        <v>1012</v>
      </c>
      <c r="G728" t="s">
        <v>114</v>
      </c>
      <c r="J728" t="s">
        <v>121</v>
      </c>
      <c r="K728">
        <v>0</v>
      </c>
      <c r="L728">
        <v>3</v>
      </c>
      <c r="M728">
        <v>0</v>
      </c>
      <c r="N728">
        <v>2</v>
      </c>
      <c r="O728">
        <v>1</v>
      </c>
      <c r="P728">
        <v>0</v>
      </c>
      <c r="Q728">
        <v>0</v>
      </c>
      <c r="S728" t="str">
        <f>"13:56:32.883"</f>
        <v>13:56:32.883</v>
      </c>
      <c r="T728" t="str">
        <f>"13:56:32.483"</f>
        <v>13:56:32.483</v>
      </c>
      <c r="U728" t="str">
        <f t="shared" si="37"/>
        <v>A92BC1</v>
      </c>
      <c r="V728">
        <v>0</v>
      </c>
      <c r="W728">
        <v>0</v>
      </c>
      <c r="X728">
        <v>2</v>
      </c>
      <c r="Z728">
        <v>0</v>
      </c>
      <c r="AA728">
        <v>9</v>
      </c>
      <c r="AB728">
        <v>3</v>
      </c>
      <c r="AC728">
        <v>0</v>
      </c>
      <c r="AD728">
        <v>10</v>
      </c>
      <c r="AE728">
        <v>0</v>
      </c>
      <c r="AF728">
        <v>3</v>
      </c>
      <c r="AG728">
        <v>2</v>
      </c>
      <c r="AH728">
        <v>0</v>
      </c>
      <c r="AI728" t="s">
        <v>828</v>
      </c>
      <c r="AJ728">
        <v>45.803761000000002</v>
      </c>
      <c r="AK728" t="s">
        <v>829</v>
      </c>
      <c r="AL728">
        <v>-89.251771000000005</v>
      </c>
      <c r="AM728">
        <v>100</v>
      </c>
      <c r="AN728">
        <v>12900</v>
      </c>
      <c r="AO728" t="s">
        <v>118</v>
      </c>
      <c r="AP728">
        <v>152</v>
      </c>
      <c r="AQ728">
        <v>111</v>
      </c>
      <c r="AR728">
        <v>1408</v>
      </c>
      <c r="AZ728">
        <v>1200</v>
      </c>
      <c r="BA728">
        <v>1</v>
      </c>
      <c r="BB728" t="str">
        <f t="shared" si="36"/>
        <v xml:space="preserve">N690LS  </v>
      </c>
      <c r="BC728">
        <v>1</v>
      </c>
      <c r="BE728">
        <v>0</v>
      </c>
      <c r="BF728">
        <v>0</v>
      </c>
      <c r="BG728">
        <v>0</v>
      </c>
      <c r="BH728">
        <v>13275</v>
      </c>
      <c r="BI728">
        <v>1</v>
      </c>
      <c r="BJ728">
        <v>1</v>
      </c>
      <c r="BK728">
        <v>1</v>
      </c>
      <c r="BL728">
        <v>0</v>
      </c>
      <c r="BO728">
        <v>0</v>
      </c>
      <c r="BP728">
        <v>0</v>
      </c>
      <c r="BW728" t="str">
        <f>"13:56:32.885"</f>
        <v>13:56:32.885</v>
      </c>
      <c r="CJ728">
        <v>0</v>
      </c>
      <c r="CK728">
        <v>2</v>
      </c>
      <c r="CL728">
        <v>0</v>
      </c>
      <c r="CM728">
        <v>2</v>
      </c>
      <c r="CN728">
        <v>0</v>
      </c>
      <c r="CO728">
        <v>6</v>
      </c>
      <c r="CP728" t="s">
        <v>119</v>
      </c>
      <c r="CQ728">
        <v>209</v>
      </c>
      <c r="CR728">
        <v>3</v>
      </c>
      <c r="CW728">
        <v>7221853</v>
      </c>
      <c r="CY728">
        <v>1</v>
      </c>
      <c r="CZ728">
        <v>0</v>
      </c>
      <c r="DA728">
        <v>1</v>
      </c>
      <c r="DB728">
        <v>0</v>
      </c>
      <c r="DC728">
        <v>0</v>
      </c>
      <c r="DD728">
        <v>1</v>
      </c>
      <c r="DE728">
        <v>0</v>
      </c>
      <c r="DF728">
        <v>0</v>
      </c>
      <c r="DG728">
        <v>0</v>
      </c>
      <c r="DH728">
        <v>0</v>
      </c>
      <c r="DI728">
        <v>0</v>
      </c>
    </row>
    <row r="729" spans="1:113" x14ac:dyDescent="0.3">
      <c r="A729" t="str">
        <f>"09/28/2021 13:56:33.949"</f>
        <v>09/28/2021 13:56:33.949</v>
      </c>
      <c r="C729" t="str">
        <f t="shared" si="35"/>
        <v>FFDFD3C0</v>
      </c>
      <c r="D729" t="s">
        <v>120</v>
      </c>
      <c r="E729">
        <v>12</v>
      </c>
      <c r="F729">
        <v>1012</v>
      </c>
      <c r="G729" t="s">
        <v>114</v>
      </c>
      <c r="J729" t="s">
        <v>121</v>
      </c>
      <c r="K729">
        <v>0</v>
      </c>
      <c r="L729">
        <v>3</v>
      </c>
      <c r="M729">
        <v>0</v>
      </c>
      <c r="N729">
        <v>2</v>
      </c>
      <c r="O729">
        <v>1</v>
      </c>
      <c r="P729">
        <v>0</v>
      </c>
      <c r="Q729">
        <v>0</v>
      </c>
      <c r="S729" t="str">
        <f>"13:56:33.734"</f>
        <v>13:56:33.734</v>
      </c>
      <c r="T729" t="str">
        <f>"13:56:33.334"</f>
        <v>13:56:33.334</v>
      </c>
      <c r="U729" t="str">
        <f t="shared" si="37"/>
        <v>A92BC1</v>
      </c>
      <c r="V729">
        <v>0</v>
      </c>
      <c r="W729">
        <v>0</v>
      </c>
      <c r="X729">
        <v>2</v>
      </c>
      <c r="Z729">
        <v>0</v>
      </c>
      <c r="AA729">
        <v>9</v>
      </c>
      <c r="AB729">
        <v>3</v>
      </c>
      <c r="AC729">
        <v>0</v>
      </c>
      <c r="AD729">
        <v>10</v>
      </c>
      <c r="AE729">
        <v>0</v>
      </c>
      <c r="AF729">
        <v>3</v>
      </c>
      <c r="AG729">
        <v>2</v>
      </c>
      <c r="AH729">
        <v>0</v>
      </c>
      <c r="AI729" t="s">
        <v>830</v>
      </c>
      <c r="AJ729">
        <v>45.804191000000003</v>
      </c>
      <c r="AK729" t="s">
        <v>831</v>
      </c>
      <c r="AL729">
        <v>-89.250848000000005</v>
      </c>
      <c r="AM729">
        <v>100</v>
      </c>
      <c r="AN729">
        <v>12900</v>
      </c>
      <c r="AO729" t="s">
        <v>118</v>
      </c>
      <c r="AP729">
        <v>152</v>
      </c>
      <c r="AQ729">
        <v>112</v>
      </c>
      <c r="AR729">
        <v>1408</v>
      </c>
      <c r="AZ729">
        <v>1200</v>
      </c>
      <c r="BA729">
        <v>1</v>
      </c>
      <c r="BB729" t="str">
        <f t="shared" si="36"/>
        <v xml:space="preserve">N690LS  </v>
      </c>
      <c r="BC729">
        <v>1</v>
      </c>
      <c r="BE729">
        <v>0</v>
      </c>
      <c r="BF729">
        <v>0</v>
      </c>
      <c r="BG729">
        <v>0</v>
      </c>
      <c r="BH729">
        <v>13300</v>
      </c>
      <c r="BI729">
        <v>1</v>
      </c>
      <c r="BJ729">
        <v>1</v>
      </c>
      <c r="BK729">
        <v>1</v>
      </c>
      <c r="BL729">
        <v>0</v>
      </c>
      <c r="BO729">
        <v>0</v>
      </c>
      <c r="BP729">
        <v>0</v>
      </c>
      <c r="BW729" t="str">
        <f>"13:56:33.742"</f>
        <v>13:56:33.742</v>
      </c>
      <c r="CJ729">
        <v>0</v>
      </c>
      <c r="CK729">
        <v>2</v>
      </c>
      <c r="CL729">
        <v>0</v>
      </c>
      <c r="CM729">
        <v>2</v>
      </c>
      <c r="CN729">
        <v>0</v>
      </c>
      <c r="CO729">
        <v>6</v>
      </c>
      <c r="CP729" t="s">
        <v>119</v>
      </c>
      <c r="CQ729">
        <v>209</v>
      </c>
      <c r="CR729">
        <v>3</v>
      </c>
      <c r="CW729">
        <v>7222128</v>
      </c>
      <c r="CY729">
        <v>1</v>
      </c>
      <c r="CZ729">
        <v>0</v>
      </c>
      <c r="DA729">
        <v>0</v>
      </c>
      <c r="DB729">
        <v>0</v>
      </c>
      <c r="DC729">
        <v>0</v>
      </c>
      <c r="DD729">
        <v>1</v>
      </c>
      <c r="DE729">
        <v>0</v>
      </c>
      <c r="DF729">
        <v>0</v>
      </c>
      <c r="DG729">
        <v>0</v>
      </c>
      <c r="DH729">
        <v>0</v>
      </c>
      <c r="DI729">
        <v>0</v>
      </c>
    </row>
    <row r="730" spans="1:113" x14ac:dyDescent="0.3">
      <c r="A730" t="str">
        <f>"09/28/2021 13:56:33.981"</f>
        <v>09/28/2021 13:56:33.981</v>
      </c>
      <c r="C730" t="str">
        <f t="shared" si="35"/>
        <v>FFDFD3C0</v>
      </c>
      <c r="D730" t="s">
        <v>113</v>
      </c>
      <c r="E730">
        <v>7</v>
      </c>
      <c r="H730">
        <v>170</v>
      </c>
      <c r="I730" t="s">
        <v>114</v>
      </c>
      <c r="J730" t="s">
        <v>115</v>
      </c>
      <c r="K730">
        <v>0</v>
      </c>
      <c r="L730">
        <v>3</v>
      </c>
      <c r="M730">
        <v>0</v>
      </c>
      <c r="N730">
        <v>2</v>
      </c>
      <c r="O730">
        <v>1</v>
      </c>
      <c r="P730">
        <v>0</v>
      </c>
      <c r="Q730">
        <v>0</v>
      </c>
      <c r="S730" t="str">
        <f>"13:56:33.734"</f>
        <v>13:56:33.734</v>
      </c>
      <c r="T730" t="str">
        <f>"13:56:33.334"</f>
        <v>13:56:33.334</v>
      </c>
      <c r="U730" t="str">
        <f t="shared" si="37"/>
        <v>A92BC1</v>
      </c>
      <c r="V730">
        <v>0</v>
      </c>
      <c r="W730">
        <v>0</v>
      </c>
      <c r="X730">
        <v>2</v>
      </c>
      <c r="Z730">
        <v>0</v>
      </c>
      <c r="AA730">
        <v>9</v>
      </c>
      <c r="AB730">
        <v>3</v>
      </c>
      <c r="AC730">
        <v>0</v>
      </c>
      <c r="AD730">
        <v>10</v>
      </c>
      <c r="AE730">
        <v>0</v>
      </c>
      <c r="AF730">
        <v>3</v>
      </c>
      <c r="AG730">
        <v>2</v>
      </c>
      <c r="AH730">
        <v>0</v>
      </c>
      <c r="AI730" t="s">
        <v>830</v>
      </c>
      <c r="AJ730">
        <v>45.804191000000003</v>
      </c>
      <c r="AK730" t="s">
        <v>831</v>
      </c>
      <c r="AL730">
        <v>-89.250848000000005</v>
      </c>
      <c r="AM730">
        <v>100</v>
      </c>
      <c r="AN730">
        <v>12900</v>
      </c>
      <c r="AO730" t="s">
        <v>118</v>
      </c>
      <c r="AP730">
        <v>152</v>
      </c>
      <c r="AQ730">
        <v>112</v>
      </c>
      <c r="AR730">
        <v>1408</v>
      </c>
      <c r="AZ730">
        <v>1200</v>
      </c>
      <c r="BA730">
        <v>1</v>
      </c>
      <c r="BB730" t="str">
        <f t="shared" si="36"/>
        <v xml:space="preserve">N690LS  </v>
      </c>
      <c r="BC730">
        <v>1</v>
      </c>
      <c r="BE730">
        <v>0</v>
      </c>
      <c r="BF730">
        <v>0</v>
      </c>
      <c r="BG730">
        <v>0</v>
      </c>
      <c r="BH730">
        <v>13300</v>
      </c>
      <c r="BI730">
        <v>1</v>
      </c>
      <c r="BJ730">
        <v>1</v>
      </c>
      <c r="BK730">
        <v>1</v>
      </c>
      <c r="BL730">
        <v>0</v>
      </c>
      <c r="BO730">
        <v>0</v>
      </c>
      <c r="BP730">
        <v>0</v>
      </c>
      <c r="BW730" t="str">
        <f>"13:56:33.742"</f>
        <v>13:56:33.742</v>
      </c>
      <c r="CJ730">
        <v>0</v>
      </c>
      <c r="CK730">
        <v>2</v>
      </c>
      <c r="CL730">
        <v>0</v>
      </c>
      <c r="CM730">
        <v>2</v>
      </c>
      <c r="CN730">
        <v>0</v>
      </c>
      <c r="CO730">
        <v>6</v>
      </c>
      <c r="CP730" t="s">
        <v>119</v>
      </c>
      <c r="CQ730">
        <v>209</v>
      </c>
      <c r="CR730">
        <v>3</v>
      </c>
      <c r="CW730">
        <v>7222128</v>
      </c>
      <c r="CY730">
        <v>1</v>
      </c>
      <c r="CZ730">
        <v>0</v>
      </c>
      <c r="DA730">
        <v>1</v>
      </c>
      <c r="DB730">
        <v>0</v>
      </c>
      <c r="DC730">
        <v>0</v>
      </c>
      <c r="DD730">
        <v>1</v>
      </c>
      <c r="DE730">
        <v>0</v>
      </c>
      <c r="DF730">
        <v>0</v>
      </c>
      <c r="DG730">
        <v>0</v>
      </c>
      <c r="DH730">
        <v>0</v>
      </c>
      <c r="DI730">
        <v>0</v>
      </c>
    </row>
    <row r="731" spans="1:113" x14ac:dyDescent="0.3">
      <c r="A731" t="str">
        <f>"09/28/2021 13:56:34.903"</f>
        <v>09/28/2021 13:56:34.903</v>
      </c>
      <c r="C731" t="str">
        <f t="shared" si="35"/>
        <v>FFDFD3C0</v>
      </c>
      <c r="D731" t="s">
        <v>113</v>
      </c>
      <c r="E731">
        <v>7</v>
      </c>
      <c r="H731">
        <v>170</v>
      </c>
      <c r="I731" t="s">
        <v>114</v>
      </c>
      <c r="J731" t="s">
        <v>115</v>
      </c>
      <c r="K731">
        <v>0</v>
      </c>
      <c r="L731">
        <v>3</v>
      </c>
      <c r="M731">
        <v>0</v>
      </c>
      <c r="N731">
        <v>2</v>
      </c>
      <c r="O731">
        <v>1</v>
      </c>
      <c r="P731">
        <v>0</v>
      </c>
      <c r="Q731">
        <v>0</v>
      </c>
      <c r="S731" t="str">
        <f>"13:56:34.664"</f>
        <v>13:56:34.664</v>
      </c>
      <c r="T731" t="str">
        <f>"13:56:34.264"</f>
        <v>13:56:34.264</v>
      </c>
      <c r="U731" t="str">
        <f t="shared" si="37"/>
        <v>A92BC1</v>
      </c>
      <c r="V731">
        <v>0</v>
      </c>
      <c r="W731">
        <v>0</v>
      </c>
      <c r="X731">
        <v>2</v>
      </c>
      <c r="Z731">
        <v>0</v>
      </c>
      <c r="AA731">
        <v>9</v>
      </c>
      <c r="AB731">
        <v>3</v>
      </c>
      <c r="AC731">
        <v>0</v>
      </c>
      <c r="AD731">
        <v>10</v>
      </c>
      <c r="AE731">
        <v>0</v>
      </c>
      <c r="AF731">
        <v>3</v>
      </c>
      <c r="AG731">
        <v>2</v>
      </c>
      <c r="AH731">
        <v>0</v>
      </c>
      <c r="AI731" t="s">
        <v>832</v>
      </c>
      <c r="AJ731">
        <v>45.804706000000003</v>
      </c>
      <c r="AK731" t="s">
        <v>833</v>
      </c>
      <c r="AL731">
        <v>-89.249904000000001</v>
      </c>
      <c r="AM731">
        <v>100</v>
      </c>
      <c r="AN731">
        <v>12900</v>
      </c>
      <c r="AO731" t="s">
        <v>118</v>
      </c>
      <c r="AP731">
        <v>152</v>
      </c>
      <c r="AQ731">
        <v>112</v>
      </c>
      <c r="AR731">
        <v>1408</v>
      </c>
      <c r="AZ731">
        <v>1200</v>
      </c>
      <c r="BA731">
        <v>1</v>
      </c>
      <c r="BB731" t="str">
        <f t="shared" si="36"/>
        <v xml:space="preserve">N690LS  </v>
      </c>
      <c r="BC731">
        <v>1</v>
      </c>
      <c r="BE731">
        <v>0</v>
      </c>
      <c r="BF731">
        <v>0</v>
      </c>
      <c r="BG731">
        <v>0</v>
      </c>
      <c r="BH731">
        <v>13300</v>
      </c>
      <c r="BI731">
        <v>1</v>
      </c>
      <c r="BJ731">
        <v>1</v>
      </c>
      <c r="BK731">
        <v>1</v>
      </c>
      <c r="BL731">
        <v>0</v>
      </c>
      <c r="BO731">
        <v>0</v>
      </c>
      <c r="BP731">
        <v>0</v>
      </c>
      <c r="BW731" t="str">
        <f>"13:56:34.666"</f>
        <v>13:56:34.666</v>
      </c>
      <c r="CJ731">
        <v>0</v>
      </c>
      <c r="CK731">
        <v>2</v>
      </c>
      <c r="CL731">
        <v>0</v>
      </c>
      <c r="CM731">
        <v>2</v>
      </c>
      <c r="CN731">
        <v>0</v>
      </c>
      <c r="CO731">
        <v>7</v>
      </c>
      <c r="CP731" t="s">
        <v>119</v>
      </c>
      <c r="CQ731">
        <v>197</v>
      </c>
      <c r="CR731">
        <v>0</v>
      </c>
      <c r="CW731">
        <v>16043438</v>
      </c>
      <c r="CY731">
        <v>1</v>
      </c>
      <c r="CZ731">
        <v>0</v>
      </c>
      <c r="DA731">
        <v>0</v>
      </c>
      <c r="DB731">
        <v>0</v>
      </c>
      <c r="DC731">
        <v>0</v>
      </c>
      <c r="DD731">
        <v>1</v>
      </c>
      <c r="DE731">
        <v>0</v>
      </c>
      <c r="DF731">
        <v>0</v>
      </c>
      <c r="DG731">
        <v>0</v>
      </c>
      <c r="DH731">
        <v>0</v>
      </c>
      <c r="DI731">
        <v>0</v>
      </c>
    </row>
    <row r="732" spans="1:113" x14ac:dyDescent="0.3">
      <c r="A732" t="str">
        <f>"09/28/2021 13:56:34.903"</f>
        <v>09/28/2021 13:56:34.903</v>
      </c>
      <c r="C732" t="str">
        <f t="shared" si="35"/>
        <v>FFDFD3C0</v>
      </c>
      <c r="D732" t="s">
        <v>120</v>
      </c>
      <c r="E732">
        <v>12</v>
      </c>
      <c r="F732">
        <v>1012</v>
      </c>
      <c r="G732" t="s">
        <v>114</v>
      </c>
      <c r="J732" t="s">
        <v>121</v>
      </c>
      <c r="K732">
        <v>0</v>
      </c>
      <c r="L732">
        <v>3</v>
      </c>
      <c r="M732">
        <v>0</v>
      </c>
      <c r="N732">
        <v>2</v>
      </c>
      <c r="O732">
        <v>1</v>
      </c>
      <c r="P732">
        <v>0</v>
      </c>
      <c r="Q732">
        <v>0</v>
      </c>
      <c r="S732" t="str">
        <f>"13:56:34.664"</f>
        <v>13:56:34.664</v>
      </c>
      <c r="T732" t="str">
        <f>"13:56:34.264"</f>
        <v>13:56:34.264</v>
      </c>
      <c r="U732" t="str">
        <f t="shared" si="37"/>
        <v>A92BC1</v>
      </c>
      <c r="V732">
        <v>0</v>
      </c>
      <c r="W732">
        <v>0</v>
      </c>
      <c r="X732">
        <v>2</v>
      </c>
      <c r="Z732">
        <v>0</v>
      </c>
      <c r="AA732">
        <v>9</v>
      </c>
      <c r="AB732">
        <v>3</v>
      </c>
      <c r="AC732">
        <v>0</v>
      </c>
      <c r="AD732">
        <v>10</v>
      </c>
      <c r="AE732">
        <v>0</v>
      </c>
      <c r="AF732">
        <v>3</v>
      </c>
      <c r="AG732">
        <v>2</v>
      </c>
      <c r="AH732">
        <v>0</v>
      </c>
      <c r="AI732" t="s">
        <v>832</v>
      </c>
      <c r="AJ732">
        <v>45.804706000000003</v>
      </c>
      <c r="AK732" t="s">
        <v>833</v>
      </c>
      <c r="AL732">
        <v>-89.249904000000001</v>
      </c>
      <c r="AM732">
        <v>100</v>
      </c>
      <c r="AN732">
        <v>12900</v>
      </c>
      <c r="AO732" t="s">
        <v>118</v>
      </c>
      <c r="AP732">
        <v>152</v>
      </c>
      <c r="AQ732">
        <v>112</v>
      </c>
      <c r="AR732">
        <v>1408</v>
      </c>
      <c r="AZ732">
        <v>1200</v>
      </c>
      <c r="BA732">
        <v>1</v>
      </c>
      <c r="BB732" t="str">
        <f t="shared" si="36"/>
        <v xml:space="preserve">N690LS  </v>
      </c>
      <c r="BC732">
        <v>1</v>
      </c>
      <c r="BE732">
        <v>0</v>
      </c>
      <c r="BF732">
        <v>0</v>
      </c>
      <c r="BG732">
        <v>0</v>
      </c>
      <c r="BH732">
        <v>13300</v>
      </c>
      <c r="BI732">
        <v>1</v>
      </c>
      <c r="BJ732">
        <v>1</v>
      </c>
      <c r="BK732">
        <v>1</v>
      </c>
      <c r="BL732">
        <v>0</v>
      </c>
      <c r="BO732">
        <v>0</v>
      </c>
      <c r="BP732">
        <v>0</v>
      </c>
      <c r="BW732" t="str">
        <f>"13:56:34.666"</f>
        <v>13:56:34.666</v>
      </c>
      <c r="CJ732">
        <v>0</v>
      </c>
      <c r="CK732">
        <v>2</v>
      </c>
      <c r="CL732">
        <v>0</v>
      </c>
      <c r="CM732">
        <v>2</v>
      </c>
      <c r="CN732">
        <v>0</v>
      </c>
      <c r="CO732">
        <v>7</v>
      </c>
      <c r="CP732" t="s">
        <v>119</v>
      </c>
      <c r="CQ732">
        <v>197</v>
      </c>
      <c r="CR732">
        <v>0</v>
      </c>
      <c r="CW732">
        <v>16043438</v>
      </c>
      <c r="CY732">
        <v>1</v>
      </c>
      <c r="CZ732">
        <v>0</v>
      </c>
      <c r="DA732">
        <v>1</v>
      </c>
      <c r="DB732">
        <v>0</v>
      </c>
      <c r="DC732">
        <v>0</v>
      </c>
      <c r="DD732">
        <v>1</v>
      </c>
      <c r="DE732">
        <v>0</v>
      </c>
      <c r="DF732">
        <v>0</v>
      </c>
      <c r="DG732">
        <v>0</v>
      </c>
      <c r="DH732">
        <v>0</v>
      </c>
      <c r="DI732">
        <v>0</v>
      </c>
    </row>
    <row r="733" spans="1:113" x14ac:dyDescent="0.3">
      <c r="A733" t="str">
        <f>"09/28/2021 13:56:35.825"</f>
        <v>09/28/2021 13:56:35.825</v>
      </c>
      <c r="C733" t="str">
        <f t="shared" si="35"/>
        <v>FFDFD3C0</v>
      </c>
      <c r="D733" t="s">
        <v>113</v>
      </c>
      <c r="E733">
        <v>7</v>
      </c>
      <c r="H733">
        <v>170</v>
      </c>
      <c r="I733" t="s">
        <v>114</v>
      </c>
      <c r="J733" t="s">
        <v>115</v>
      </c>
      <c r="K733">
        <v>0</v>
      </c>
      <c r="L733">
        <v>3</v>
      </c>
      <c r="M733">
        <v>0</v>
      </c>
      <c r="N733">
        <v>2</v>
      </c>
      <c r="O733">
        <v>1</v>
      </c>
      <c r="P733">
        <v>0</v>
      </c>
      <c r="Q733">
        <v>0</v>
      </c>
      <c r="S733" t="str">
        <f>"13:56:35.570"</f>
        <v>13:56:35.570</v>
      </c>
      <c r="T733" t="str">
        <f>"13:56:35.170"</f>
        <v>13:56:35.170</v>
      </c>
      <c r="U733" t="str">
        <f t="shared" si="37"/>
        <v>A92BC1</v>
      </c>
      <c r="V733">
        <v>0</v>
      </c>
      <c r="W733">
        <v>0</v>
      </c>
      <c r="X733">
        <v>2</v>
      </c>
      <c r="Z733">
        <v>0</v>
      </c>
      <c r="AA733">
        <v>9</v>
      </c>
      <c r="AB733">
        <v>3</v>
      </c>
      <c r="AC733">
        <v>0</v>
      </c>
      <c r="AD733">
        <v>10</v>
      </c>
      <c r="AE733">
        <v>0</v>
      </c>
      <c r="AF733">
        <v>3</v>
      </c>
      <c r="AG733">
        <v>2</v>
      </c>
      <c r="AH733">
        <v>0</v>
      </c>
      <c r="AI733" t="s">
        <v>834</v>
      </c>
      <c r="AJ733">
        <v>45.805155999999997</v>
      </c>
      <c r="AK733" t="s">
        <v>835</v>
      </c>
      <c r="AL733">
        <v>-89.249046000000007</v>
      </c>
      <c r="AM733">
        <v>100</v>
      </c>
      <c r="AN733">
        <v>12900</v>
      </c>
      <c r="AO733" t="s">
        <v>118</v>
      </c>
      <c r="AP733">
        <v>152</v>
      </c>
      <c r="AQ733">
        <v>112</v>
      </c>
      <c r="AR733">
        <v>1408</v>
      </c>
      <c r="AZ733">
        <v>1200</v>
      </c>
      <c r="BA733">
        <v>1</v>
      </c>
      <c r="BB733" t="str">
        <f t="shared" si="36"/>
        <v xml:space="preserve">N690LS  </v>
      </c>
      <c r="BC733">
        <v>1</v>
      </c>
      <c r="BE733">
        <v>0</v>
      </c>
      <c r="BF733">
        <v>0</v>
      </c>
      <c r="BG733">
        <v>0</v>
      </c>
      <c r="BH733">
        <v>13325</v>
      </c>
      <c r="BI733">
        <v>1</v>
      </c>
      <c r="BJ733">
        <v>1</v>
      </c>
      <c r="BK733">
        <v>1</v>
      </c>
      <c r="BL733">
        <v>0</v>
      </c>
      <c r="BO733">
        <v>0</v>
      </c>
      <c r="BP733">
        <v>0</v>
      </c>
      <c r="BW733" t="str">
        <f>"13:56:35.575"</f>
        <v>13:56:35.575</v>
      </c>
      <c r="CJ733">
        <v>0</v>
      </c>
      <c r="CK733">
        <v>2</v>
      </c>
      <c r="CL733">
        <v>0</v>
      </c>
      <c r="CM733">
        <v>2</v>
      </c>
      <c r="CN733">
        <v>0</v>
      </c>
      <c r="CO733">
        <v>7</v>
      </c>
      <c r="CP733" t="s">
        <v>119</v>
      </c>
      <c r="CQ733">
        <v>197</v>
      </c>
      <c r="CR733">
        <v>0</v>
      </c>
      <c r="CW733">
        <v>16043710</v>
      </c>
      <c r="CY733">
        <v>1</v>
      </c>
      <c r="CZ733">
        <v>0</v>
      </c>
      <c r="DA733">
        <v>0</v>
      </c>
      <c r="DB733">
        <v>0</v>
      </c>
      <c r="DC733">
        <v>0</v>
      </c>
      <c r="DD733">
        <v>1</v>
      </c>
      <c r="DE733">
        <v>0</v>
      </c>
      <c r="DF733">
        <v>0</v>
      </c>
      <c r="DG733">
        <v>0</v>
      </c>
      <c r="DH733">
        <v>0</v>
      </c>
      <c r="DI733">
        <v>0</v>
      </c>
    </row>
    <row r="734" spans="1:113" x14ac:dyDescent="0.3">
      <c r="A734" t="str">
        <f>"09/28/2021 13:56:35.825"</f>
        <v>09/28/2021 13:56:35.825</v>
      </c>
      <c r="C734" t="str">
        <f t="shared" si="35"/>
        <v>FFDFD3C0</v>
      </c>
      <c r="D734" t="s">
        <v>120</v>
      </c>
      <c r="E734">
        <v>12</v>
      </c>
      <c r="F734">
        <v>1012</v>
      </c>
      <c r="G734" t="s">
        <v>114</v>
      </c>
      <c r="J734" t="s">
        <v>121</v>
      </c>
      <c r="K734">
        <v>0</v>
      </c>
      <c r="L734">
        <v>3</v>
      </c>
      <c r="M734">
        <v>0</v>
      </c>
      <c r="N734">
        <v>2</v>
      </c>
      <c r="O734">
        <v>1</v>
      </c>
      <c r="P734">
        <v>0</v>
      </c>
      <c r="Q734">
        <v>0</v>
      </c>
      <c r="S734" t="str">
        <f>"13:56:35.570"</f>
        <v>13:56:35.570</v>
      </c>
      <c r="T734" t="str">
        <f>"13:56:35.170"</f>
        <v>13:56:35.170</v>
      </c>
      <c r="U734" t="str">
        <f t="shared" si="37"/>
        <v>A92BC1</v>
      </c>
      <c r="V734">
        <v>0</v>
      </c>
      <c r="W734">
        <v>0</v>
      </c>
      <c r="X734">
        <v>2</v>
      </c>
      <c r="Z734">
        <v>0</v>
      </c>
      <c r="AA734">
        <v>9</v>
      </c>
      <c r="AB734">
        <v>3</v>
      </c>
      <c r="AC734">
        <v>0</v>
      </c>
      <c r="AD734">
        <v>10</v>
      </c>
      <c r="AE734">
        <v>0</v>
      </c>
      <c r="AF734">
        <v>3</v>
      </c>
      <c r="AG734">
        <v>2</v>
      </c>
      <c r="AH734">
        <v>0</v>
      </c>
      <c r="AI734" t="s">
        <v>834</v>
      </c>
      <c r="AJ734">
        <v>45.805155999999997</v>
      </c>
      <c r="AK734" t="s">
        <v>835</v>
      </c>
      <c r="AL734">
        <v>-89.249046000000007</v>
      </c>
      <c r="AM734">
        <v>100</v>
      </c>
      <c r="AN734">
        <v>12900</v>
      </c>
      <c r="AO734" t="s">
        <v>118</v>
      </c>
      <c r="AP734">
        <v>152</v>
      </c>
      <c r="AQ734">
        <v>112</v>
      </c>
      <c r="AR734">
        <v>1408</v>
      </c>
      <c r="AZ734">
        <v>1200</v>
      </c>
      <c r="BA734">
        <v>1</v>
      </c>
      <c r="BB734" t="str">
        <f t="shared" si="36"/>
        <v xml:space="preserve">N690LS  </v>
      </c>
      <c r="BC734">
        <v>1</v>
      </c>
      <c r="BE734">
        <v>0</v>
      </c>
      <c r="BF734">
        <v>0</v>
      </c>
      <c r="BG734">
        <v>0</v>
      </c>
      <c r="BH734">
        <v>13325</v>
      </c>
      <c r="BI734">
        <v>1</v>
      </c>
      <c r="BJ734">
        <v>1</v>
      </c>
      <c r="BK734">
        <v>1</v>
      </c>
      <c r="BL734">
        <v>0</v>
      </c>
      <c r="BO734">
        <v>0</v>
      </c>
      <c r="BP734">
        <v>0</v>
      </c>
      <c r="BW734" t="str">
        <f>"13:56:35.575"</f>
        <v>13:56:35.575</v>
      </c>
      <c r="CJ734">
        <v>0</v>
      </c>
      <c r="CK734">
        <v>2</v>
      </c>
      <c r="CL734">
        <v>0</v>
      </c>
      <c r="CM734">
        <v>2</v>
      </c>
      <c r="CN734">
        <v>0</v>
      </c>
      <c r="CO734">
        <v>7</v>
      </c>
      <c r="CP734" t="s">
        <v>119</v>
      </c>
      <c r="CQ734">
        <v>197</v>
      </c>
      <c r="CR734">
        <v>0</v>
      </c>
      <c r="CW734">
        <v>16043710</v>
      </c>
      <c r="CY734">
        <v>1</v>
      </c>
      <c r="CZ734">
        <v>0</v>
      </c>
      <c r="DA734">
        <v>1</v>
      </c>
      <c r="DB734">
        <v>0</v>
      </c>
      <c r="DC734">
        <v>0</v>
      </c>
      <c r="DD734">
        <v>1</v>
      </c>
      <c r="DE734">
        <v>0</v>
      </c>
      <c r="DF734">
        <v>0</v>
      </c>
      <c r="DG734">
        <v>0</v>
      </c>
      <c r="DH734">
        <v>0</v>
      </c>
      <c r="DI734">
        <v>0</v>
      </c>
    </row>
    <row r="735" spans="1:113" x14ac:dyDescent="0.3">
      <c r="A735" t="str">
        <f>"09/28/2021 13:56:36.839"</f>
        <v>09/28/2021 13:56:36.839</v>
      </c>
      <c r="C735" t="str">
        <f t="shared" si="35"/>
        <v>FFDFD3C0</v>
      </c>
      <c r="D735" t="s">
        <v>113</v>
      </c>
      <c r="E735">
        <v>7</v>
      </c>
      <c r="H735">
        <v>170</v>
      </c>
      <c r="I735" t="s">
        <v>114</v>
      </c>
      <c r="J735" t="s">
        <v>115</v>
      </c>
      <c r="K735">
        <v>0</v>
      </c>
      <c r="L735">
        <v>3</v>
      </c>
      <c r="M735">
        <v>0</v>
      </c>
      <c r="N735">
        <v>2</v>
      </c>
      <c r="O735">
        <v>1</v>
      </c>
      <c r="P735">
        <v>0</v>
      </c>
      <c r="Q735">
        <v>0</v>
      </c>
      <c r="S735" t="str">
        <f>"13:56:36.594"</f>
        <v>13:56:36.594</v>
      </c>
      <c r="T735" t="str">
        <f>"13:56:36.194"</f>
        <v>13:56:36.194</v>
      </c>
      <c r="U735" t="str">
        <f t="shared" si="37"/>
        <v>A92BC1</v>
      </c>
      <c r="V735">
        <v>0</v>
      </c>
      <c r="W735">
        <v>0</v>
      </c>
      <c r="X735">
        <v>2</v>
      </c>
      <c r="Z735">
        <v>0</v>
      </c>
      <c r="AA735">
        <v>9</v>
      </c>
      <c r="AB735">
        <v>3</v>
      </c>
      <c r="AC735">
        <v>0</v>
      </c>
      <c r="AD735">
        <v>10</v>
      </c>
      <c r="AE735">
        <v>0</v>
      </c>
      <c r="AF735">
        <v>3</v>
      </c>
      <c r="AG735">
        <v>2</v>
      </c>
      <c r="AH735">
        <v>0</v>
      </c>
      <c r="AI735" t="s">
        <v>836</v>
      </c>
      <c r="AJ735">
        <v>45.805670999999997</v>
      </c>
      <c r="AK735" t="s">
        <v>837</v>
      </c>
      <c r="AL735">
        <v>-89.247973000000002</v>
      </c>
      <c r="AM735">
        <v>100</v>
      </c>
      <c r="AN735">
        <v>13000</v>
      </c>
      <c r="AO735" t="s">
        <v>118</v>
      </c>
      <c r="AP735">
        <v>152</v>
      </c>
      <c r="AQ735">
        <v>112</v>
      </c>
      <c r="AR735">
        <v>1408</v>
      </c>
      <c r="AZ735">
        <v>1200</v>
      </c>
      <c r="BA735">
        <v>1</v>
      </c>
      <c r="BB735" t="str">
        <f t="shared" si="36"/>
        <v xml:space="preserve">N690LS  </v>
      </c>
      <c r="BC735">
        <v>1</v>
      </c>
      <c r="BE735">
        <v>0</v>
      </c>
      <c r="BF735">
        <v>0</v>
      </c>
      <c r="BG735">
        <v>0</v>
      </c>
      <c r="BH735">
        <v>13350</v>
      </c>
      <c r="BI735">
        <v>1</v>
      </c>
      <c r="BJ735">
        <v>1</v>
      </c>
      <c r="BK735">
        <v>1</v>
      </c>
      <c r="BL735">
        <v>0</v>
      </c>
      <c r="BO735">
        <v>0</v>
      </c>
      <c r="BP735">
        <v>0</v>
      </c>
      <c r="BW735" t="str">
        <f>"13:56:36.599"</f>
        <v>13:56:36.599</v>
      </c>
      <c r="CJ735">
        <v>0</v>
      </c>
      <c r="CK735">
        <v>2</v>
      </c>
      <c r="CL735">
        <v>0</v>
      </c>
      <c r="CM735">
        <v>2</v>
      </c>
      <c r="CN735">
        <v>0</v>
      </c>
      <c r="CO735">
        <v>7</v>
      </c>
      <c r="CP735" t="s">
        <v>119</v>
      </c>
      <c r="CQ735">
        <v>197</v>
      </c>
      <c r="CR735">
        <v>1</v>
      </c>
      <c r="CW735">
        <v>7364318</v>
      </c>
      <c r="CY735">
        <v>1</v>
      </c>
      <c r="CZ735">
        <v>0</v>
      </c>
      <c r="DA735">
        <v>0</v>
      </c>
      <c r="DB735">
        <v>0</v>
      </c>
      <c r="DC735">
        <v>0</v>
      </c>
      <c r="DD735">
        <v>1</v>
      </c>
      <c r="DE735">
        <v>0</v>
      </c>
      <c r="DF735">
        <v>0</v>
      </c>
      <c r="DG735">
        <v>0</v>
      </c>
      <c r="DH735">
        <v>0</v>
      </c>
      <c r="DI735">
        <v>0</v>
      </c>
    </row>
    <row r="736" spans="1:113" x14ac:dyDescent="0.3">
      <c r="A736" t="str">
        <f>"09/28/2021 13:56:36.839"</f>
        <v>09/28/2021 13:56:36.839</v>
      </c>
      <c r="C736" t="str">
        <f t="shared" si="35"/>
        <v>FFDFD3C0</v>
      </c>
      <c r="D736" t="s">
        <v>120</v>
      </c>
      <c r="E736">
        <v>12</v>
      </c>
      <c r="F736">
        <v>1012</v>
      </c>
      <c r="G736" t="s">
        <v>114</v>
      </c>
      <c r="J736" t="s">
        <v>121</v>
      </c>
      <c r="K736">
        <v>0</v>
      </c>
      <c r="L736">
        <v>3</v>
      </c>
      <c r="M736">
        <v>0</v>
      </c>
      <c r="N736">
        <v>2</v>
      </c>
      <c r="O736">
        <v>1</v>
      </c>
      <c r="P736">
        <v>0</v>
      </c>
      <c r="Q736">
        <v>0</v>
      </c>
      <c r="S736" t="str">
        <f>"13:56:36.594"</f>
        <v>13:56:36.594</v>
      </c>
      <c r="T736" t="str">
        <f>"13:56:36.194"</f>
        <v>13:56:36.194</v>
      </c>
      <c r="U736" t="str">
        <f t="shared" si="37"/>
        <v>A92BC1</v>
      </c>
      <c r="V736">
        <v>0</v>
      </c>
      <c r="W736">
        <v>0</v>
      </c>
      <c r="X736">
        <v>2</v>
      </c>
      <c r="Z736">
        <v>0</v>
      </c>
      <c r="AA736">
        <v>9</v>
      </c>
      <c r="AB736">
        <v>3</v>
      </c>
      <c r="AC736">
        <v>0</v>
      </c>
      <c r="AD736">
        <v>10</v>
      </c>
      <c r="AE736">
        <v>0</v>
      </c>
      <c r="AF736">
        <v>3</v>
      </c>
      <c r="AG736">
        <v>2</v>
      </c>
      <c r="AH736">
        <v>0</v>
      </c>
      <c r="AI736" t="s">
        <v>836</v>
      </c>
      <c r="AJ736">
        <v>45.805670999999997</v>
      </c>
      <c r="AK736" t="s">
        <v>837</v>
      </c>
      <c r="AL736">
        <v>-89.247973000000002</v>
      </c>
      <c r="AM736">
        <v>100</v>
      </c>
      <c r="AN736">
        <v>13000</v>
      </c>
      <c r="AO736" t="s">
        <v>118</v>
      </c>
      <c r="AP736">
        <v>152</v>
      </c>
      <c r="AQ736">
        <v>112</v>
      </c>
      <c r="AR736">
        <v>1408</v>
      </c>
      <c r="AZ736">
        <v>1200</v>
      </c>
      <c r="BA736">
        <v>1</v>
      </c>
      <c r="BB736" t="str">
        <f t="shared" si="36"/>
        <v xml:space="preserve">N690LS  </v>
      </c>
      <c r="BC736">
        <v>1</v>
      </c>
      <c r="BE736">
        <v>0</v>
      </c>
      <c r="BF736">
        <v>0</v>
      </c>
      <c r="BG736">
        <v>0</v>
      </c>
      <c r="BH736">
        <v>13350</v>
      </c>
      <c r="BI736">
        <v>1</v>
      </c>
      <c r="BJ736">
        <v>1</v>
      </c>
      <c r="BK736">
        <v>1</v>
      </c>
      <c r="BL736">
        <v>0</v>
      </c>
      <c r="BO736">
        <v>0</v>
      </c>
      <c r="BP736">
        <v>0</v>
      </c>
      <c r="BW736" t="str">
        <f>"13:56:36.599"</f>
        <v>13:56:36.599</v>
      </c>
      <c r="CJ736">
        <v>0</v>
      </c>
      <c r="CK736">
        <v>2</v>
      </c>
      <c r="CL736">
        <v>0</v>
      </c>
      <c r="CM736">
        <v>2</v>
      </c>
      <c r="CN736">
        <v>0</v>
      </c>
      <c r="CO736">
        <v>7</v>
      </c>
      <c r="CP736" t="s">
        <v>119</v>
      </c>
      <c r="CQ736">
        <v>197</v>
      </c>
      <c r="CR736">
        <v>1</v>
      </c>
      <c r="CW736">
        <v>7364318</v>
      </c>
      <c r="CY736">
        <v>1</v>
      </c>
      <c r="CZ736">
        <v>0</v>
      </c>
      <c r="DA736">
        <v>1</v>
      </c>
      <c r="DB736">
        <v>0</v>
      </c>
      <c r="DC736">
        <v>0</v>
      </c>
      <c r="DD736">
        <v>1</v>
      </c>
      <c r="DE736">
        <v>0</v>
      </c>
      <c r="DF736">
        <v>0</v>
      </c>
      <c r="DG736">
        <v>0</v>
      </c>
      <c r="DH736">
        <v>0</v>
      </c>
      <c r="DI736">
        <v>0</v>
      </c>
    </row>
    <row r="737" spans="1:113" x14ac:dyDescent="0.3">
      <c r="A737" t="str">
        <f>"09/28/2021 13:56:37.636"</f>
        <v>09/28/2021 13:56:37.636</v>
      </c>
      <c r="C737" t="str">
        <f t="shared" si="35"/>
        <v>FFDFD3C0</v>
      </c>
      <c r="D737" t="s">
        <v>120</v>
      </c>
      <c r="E737">
        <v>12</v>
      </c>
      <c r="F737">
        <v>1012</v>
      </c>
      <c r="G737" t="s">
        <v>114</v>
      </c>
      <c r="J737" t="s">
        <v>121</v>
      </c>
      <c r="K737">
        <v>0</v>
      </c>
      <c r="L737">
        <v>3</v>
      </c>
      <c r="M737">
        <v>0</v>
      </c>
      <c r="N737">
        <v>2</v>
      </c>
      <c r="O737">
        <v>1</v>
      </c>
      <c r="P737">
        <v>0</v>
      </c>
      <c r="Q737">
        <v>0</v>
      </c>
      <c r="S737" t="str">
        <f>"13:56:37.422"</f>
        <v>13:56:37.422</v>
      </c>
      <c r="T737" t="str">
        <f>"13:56:37.022"</f>
        <v>13:56:37.022</v>
      </c>
      <c r="U737" t="str">
        <f t="shared" si="37"/>
        <v>A92BC1</v>
      </c>
      <c r="V737">
        <v>0</v>
      </c>
      <c r="W737">
        <v>0</v>
      </c>
      <c r="X737">
        <v>2</v>
      </c>
      <c r="Z737">
        <v>0</v>
      </c>
      <c r="AA737">
        <v>9</v>
      </c>
      <c r="AB737">
        <v>3</v>
      </c>
      <c r="AC737">
        <v>0</v>
      </c>
      <c r="AD737">
        <v>10</v>
      </c>
      <c r="AE737">
        <v>0</v>
      </c>
      <c r="AF737">
        <v>3</v>
      </c>
      <c r="AG737">
        <v>2</v>
      </c>
      <c r="AH737">
        <v>0</v>
      </c>
      <c r="AI737" t="s">
        <v>838</v>
      </c>
      <c r="AJ737">
        <v>45.806142999999999</v>
      </c>
      <c r="AK737" t="s">
        <v>839</v>
      </c>
      <c r="AL737">
        <v>-89.247093000000007</v>
      </c>
      <c r="AM737">
        <v>100</v>
      </c>
      <c r="AN737">
        <v>13000</v>
      </c>
      <c r="AO737" t="s">
        <v>118</v>
      </c>
      <c r="AP737">
        <v>152</v>
      </c>
      <c r="AQ737">
        <v>113</v>
      </c>
      <c r="AR737">
        <v>1408</v>
      </c>
      <c r="AZ737">
        <v>1200</v>
      </c>
      <c r="BA737">
        <v>1</v>
      </c>
      <c r="BB737" t="str">
        <f t="shared" si="36"/>
        <v xml:space="preserve">N690LS  </v>
      </c>
      <c r="BC737">
        <v>1</v>
      </c>
      <c r="BE737">
        <v>0</v>
      </c>
      <c r="BF737">
        <v>0</v>
      </c>
      <c r="BG737">
        <v>0</v>
      </c>
      <c r="BH737">
        <v>13375</v>
      </c>
      <c r="BI737">
        <v>1</v>
      </c>
      <c r="BJ737">
        <v>1</v>
      </c>
      <c r="BK737">
        <v>1</v>
      </c>
      <c r="BL737">
        <v>0</v>
      </c>
      <c r="BO737">
        <v>0</v>
      </c>
      <c r="BP737">
        <v>0</v>
      </c>
      <c r="BW737" t="str">
        <f>"13:56:37.427"</f>
        <v>13:56:37.427</v>
      </c>
      <c r="CJ737">
        <v>0</v>
      </c>
      <c r="CK737">
        <v>2</v>
      </c>
      <c r="CL737">
        <v>0</v>
      </c>
      <c r="CM737">
        <v>2</v>
      </c>
      <c r="CN737">
        <v>0</v>
      </c>
      <c r="CO737">
        <v>7</v>
      </c>
      <c r="CP737" t="s">
        <v>119</v>
      </c>
      <c r="CQ737">
        <v>197</v>
      </c>
      <c r="CR737">
        <v>1</v>
      </c>
      <c r="CW737">
        <v>7365233</v>
      </c>
      <c r="CY737">
        <v>1</v>
      </c>
      <c r="CZ737">
        <v>0</v>
      </c>
      <c r="DA737">
        <v>0</v>
      </c>
      <c r="DB737">
        <v>0</v>
      </c>
      <c r="DC737">
        <v>0</v>
      </c>
      <c r="DD737">
        <v>1</v>
      </c>
      <c r="DE737">
        <v>0</v>
      </c>
      <c r="DF737">
        <v>0</v>
      </c>
      <c r="DG737">
        <v>0</v>
      </c>
      <c r="DH737">
        <v>0</v>
      </c>
      <c r="DI737">
        <v>0</v>
      </c>
    </row>
    <row r="738" spans="1:113" x14ac:dyDescent="0.3">
      <c r="A738" t="str">
        <f>"09/28/2021 13:56:37.636"</f>
        <v>09/28/2021 13:56:37.636</v>
      </c>
      <c r="C738" t="str">
        <f t="shared" si="35"/>
        <v>FFDFD3C0</v>
      </c>
      <c r="D738" t="s">
        <v>113</v>
      </c>
      <c r="E738">
        <v>7</v>
      </c>
      <c r="H738">
        <v>170</v>
      </c>
      <c r="I738" t="s">
        <v>114</v>
      </c>
      <c r="J738" t="s">
        <v>115</v>
      </c>
      <c r="K738">
        <v>0</v>
      </c>
      <c r="L738">
        <v>3</v>
      </c>
      <c r="M738">
        <v>0</v>
      </c>
      <c r="N738">
        <v>2</v>
      </c>
      <c r="O738">
        <v>1</v>
      </c>
      <c r="P738">
        <v>0</v>
      </c>
      <c r="Q738">
        <v>0</v>
      </c>
      <c r="S738" t="str">
        <f>"13:56:37.422"</f>
        <v>13:56:37.422</v>
      </c>
      <c r="T738" t="str">
        <f>"13:56:37.022"</f>
        <v>13:56:37.022</v>
      </c>
      <c r="U738" t="str">
        <f t="shared" si="37"/>
        <v>A92BC1</v>
      </c>
      <c r="V738">
        <v>0</v>
      </c>
      <c r="W738">
        <v>0</v>
      </c>
      <c r="X738">
        <v>2</v>
      </c>
      <c r="Z738">
        <v>0</v>
      </c>
      <c r="AA738">
        <v>9</v>
      </c>
      <c r="AB738">
        <v>3</v>
      </c>
      <c r="AC738">
        <v>0</v>
      </c>
      <c r="AD738">
        <v>10</v>
      </c>
      <c r="AE738">
        <v>0</v>
      </c>
      <c r="AF738">
        <v>3</v>
      </c>
      <c r="AG738">
        <v>2</v>
      </c>
      <c r="AH738">
        <v>0</v>
      </c>
      <c r="AI738" t="s">
        <v>838</v>
      </c>
      <c r="AJ738">
        <v>45.806142999999999</v>
      </c>
      <c r="AK738" t="s">
        <v>839</v>
      </c>
      <c r="AL738">
        <v>-89.247093000000007</v>
      </c>
      <c r="AM738">
        <v>100</v>
      </c>
      <c r="AN738">
        <v>13000</v>
      </c>
      <c r="AO738" t="s">
        <v>118</v>
      </c>
      <c r="AP738">
        <v>152</v>
      </c>
      <c r="AQ738">
        <v>113</v>
      </c>
      <c r="AR738">
        <v>1408</v>
      </c>
      <c r="AZ738">
        <v>1200</v>
      </c>
      <c r="BA738">
        <v>1</v>
      </c>
      <c r="BB738" t="str">
        <f t="shared" si="36"/>
        <v xml:space="preserve">N690LS  </v>
      </c>
      <c r="BC738">
        <v>1</v>
      </c>
      <c r="BE738">
        <v>0</v>
      </c>
      <c r="BF738">
        <v>0</v>
      </c>
      <c r="BG738">
        <v>0</v>
      </c>
      <c r="BH738">
        <v>13375</v>
      </c>
      <c r="BI738">
        <v>1</v>
      </c>
      <c r="BJ738">
        <v>1</v>
      </c>
      <c r="BK738">
        <v>1</v>
      </c>
      <c r="BL738">
        <v>0</v>
      </c>
      <c r="BO738">
        <v>0</v>
      </c>
      <c r="BP738">
        <v>0</v>
      </c>
      <c r="BW738" t="str">
        <f>"13:56:37.427"</f>
        <v>13:56:37.427</v>
      </c>
      <c r="CJ738">
        <v>0</v>
      </c>
      <c r="CK738">
        <v>2</v>
      </c>
      <c r="CL738">
        <v>0</v>
      </c>
      <c r="CM738">
        <v>2</v>
      </c>
      <c r="CN738">
        <v>0</v>
      </c>
      <c r="CO738">
        <v>7</v>
      </c>
      <c r="CP738" t="s">
        <v>119</v>
      </c>
      <c r="CQ738">
        <v>197</v>
      </c>
      <c r="CR738">
        <v>1</v>
      </c>
      <c r="CW738">
        <v>7365233</v>
      </c>
      <c r="CY738">
        <v>1</v>
      </c>
      <c r="CZ738">
        <v>0</v>
      </c>
      <c r="DA738">
        <v>1</v>
      </c>
      <c r="DB738">
        <v>0</v>
      </c>
      <c r="DC738">
        <v>0</v>
      </c>
      <c r="DD738">
        <v>1</v>
      </c>
      <c r="DE738">
        <v>0</v>
      </c>
      <c r="DF738">
        <v>0</v>
      </c>
      <c r="DG738">
        <v>0</v>
      </c>
      <c r="DH738">
        <v>0</v>
      </c>
      <c r="DI738">
        <v>0</v>
      </c>
    </row>
    <row r="739" spans="1:113" x14ac:dyDescent="0.3">
      <c r="A739" t="str">
        <f>"09/28/2021 13:56:38.683"</f>
        <v>09/28/2021 13:56:38.683</v>
      </c>
      <c r="C739" t="str">
        <f t="shared" si="35"/>
        <v>FFDFD3C0</v>
      </c>
      <c r="D739" t="s">
        <v>120</v>
      </c>
      <c r="E739">
        <v>12</v>
      </c>
      <c r="F739">
        <v>1012</v>
      </c>
      <c r="G739" t="s">
        <v>114</v>
      </c>
      <c r="J739" t="s">
        <v>121</v>
      </c>
      <c r="K739">
        <v>0</v>
      </c>
      <c r="L739">
        <v>3</v>
      </c>
      <c r="M739">
        <v>0</v>
      </c>
      <c r="N739">
        <v>2</v>
      </c>
      <c r="O739">
        <v>1</v>
      </c>
      <c r="P739">
        <v>0</v>
      </c>
      <c r="Q739">
        <v>0</v>
      </c>
      <c r="S739" t="str">
        <f>"13:56:38.453"</f>
        <v>13:56:38.453</v>
      </c>
      <c r="T739" t="str">
        <f>"13:56:37.953"</f>
        <v>13:56:37.953</v>
      </c>
      <c r="U739" t="str">
        <f t="shared" si="37"/>
        <v>A92BC1</v>
      </c>
      <c r="V739">
        <v>0</v>
      </c>
      <c r="W739">
        <v>0</v>
      </c>
      <c r="X739">
        <v>2</v>
      </c>
      <c r="Z739">
        <v>0</v>
      </c>
      <c r="AA739">
        <v>9</v>
      </c>
      <c r="AB739">
        <v>3</v>
      </c>
      <c r="AC739">
        <v>0</v>
      </c>
      <c r="AD739">
        <v>10</v>
      </c>
      <c r="AE739">
        <v>0</v>
      </c>
      <c r="AF739">
        <v>3</v>
      </c>
      <c r="AG739">
        <v>2</v>
      </c>
      <c r="AH739">
        <v>0</v>
      </c>
      <c r="AI739" t="s">
        <v>840</v>
      </c>
      <c r="AJ739">
        <v>45.806657999999999</v>
      </c>
      <c r="AK739" t="s">
        <v>841</v>
      </c>
      <c r="AL739">
        <v>-89.246063000000007</v>
      </c>
      <c r="AM739">
        <v>100</v>
      </c>
      <c r="AN739">
        <v>13000</v>
      </c>
      <c r="AO739" t="s">
        <v>118</v>
      </c>
      <c r="AP739">
        <v>152</v>
      </c>
      <c r="AQ739">
        <v>113</v>
      </c>
      <c r="AR739">
        <v>1408</v>
      </c>
      <c r="AZ739">
        <v>1200</v>
      </c>
      <c r="BA739">
        <v>1</v>
      </c>
      <c r="BB739" t="str">
        <f t="shared" si="36"/>
        <v xml:space="preserve">N690LS  </v>
      </c>
      <c r="BC739">
        <v>1</v>
      </c>
      <c r="BE739">
        <v>0</v>
      </c>
      <c r="BF739">
        <v>0</v>
      </c>
      <c r="BG739">
        <v>0</v>
      </c>
      <c r="BH739">
        <v>13400</v>
      </c>
      <c r="BI739">
        <v>1</v>
      </c>
      <c r="BJ739">
        <v>1</v>
      </c>
      <c r="BK739">
        <v>1</v>
      </c>
      <c r="BL739">
        <v>0</v>
      </c>
      <c r="BO739">
        <v>0</v>
      </c>
      <c r="BP739">
        <v>0</v>
      </c>
      <c r="BW739" t="str">
        <f>"13:56:38.457"</f>
        <v>13:56:38.457</v>
      </c>
      <c r="CJ739">
        <v>0</v>
      </c>
      <c r="CK739">
        <v>2</v>
      </c>
      <c r="CL739">
        <v>0</v>
      </c>
      <c r="CM739">
        <v>2</v>
      </c>
      <c r="CN739">
        <v>0</v>
      </c>
      <c r="CO739">
        <v>7</v>
      </c>
      <c r="CP739" t="s">
        <v>119</v>
      </c>
      <c r="CQ739">
        <v>197</v>
      </c>
      <c r="CR739">
        <v>1</v>
      </c>
      <c r="CW739">
        <v>7366276</v>
      </c>
      <c r="CY739">
        <v>1</v>
      </c>
      <c r="CZ739">
        <v>0</v>
      </c>
      <c r="DA739">
        <v>0</v>
      </c>
      <c r="DB739">
        <v>0</v>
      </c>
      <c r="DC739">
        <v>0</v>
      </c>
      <c r="DD739">
        <v>1</v>
      </c>
      <c r="DE739">
        <v>0</v>
      </c>
      <c r="DF739">
        <v>0</v>
      </c>
      <c r="DG739">
        <v>0</v>
      </c>
      <c r="DH739">
        <v>0</v>
      </c>
      <c r="DI739">
        <v>0</v>
      </c>
    </row>
    <row r="740" spans="1:113" x14ac:dyDescent="0.3">
      <c r="A740" t="str">
        <f>"09/28/2021 13:56:38.683"</f>
        <v>09/28/2021 13:56:38.683</v>
      </c>
      <c r="C740" t="str">
        <f t="shared" si="35"/>
        <v>FFDFD3C0</v>
      </c>
      <c r="D740" t="s">
        <v>113</v>
      </c>
      <c r="E740">
        <v>7</v>
      </c>
      <c r="H740">
        <v>170</v>
      </c>
      <c r="I740" t="s">
        <v>114</v>
      </c>
      <c r="J740" t="s">
        <v>115</v>
      </c>
      <c r="K740">
        <v>0</v>
      </c>
      <c r="L740">
        <v>3</v>
      </c>
      <c r="M740">
        <v>0</v>
      </c>
      <c r="N740">
        <v>2</v>
      </c>
      <c r="O740">
        <v>1</v>
      </c>
      <c r="P740">
        <v>0</v>
      </c>
      <c r="Q740">
        <v>0</v>
      </c>
      <c r="S740" t="str">
        <f>"13:56:38.453"</f>
        <v>13:56:38.453</v>
      </c>
      <c r="T740" t="str">
        <f>"13:56:37.953"</f>
        <v>13:56:37.953</v>
      </c>
      <c r="U740" t="str">
        <f t="shared" si="37"/>
        <v>A92BC1</v>
      </c>
      <c r="V740">
        <v>0</v>
      </c>
      <c r="W740">
        <v>0</v>
      </c>
      <c r="X740">
        <v>2</v>
      </c>
      <c r="Z740">
        <v>0</v>
      </c>
      <c r="AA740">
        <v>9</v>
      </c>
      <c r="AB740">
        <v>3</v>
      </c>
      <c r="AC740">
        <v>0</v>
      </c>
      <c r="AD740">
        <v>10</v>
      </c>
      <c r="AE740">
        <v>0</v>
      </c>
      <c r="AF740">
        <v>3</v>
      </c>
      <c r="AG740">
        <v>2</v>
      </c>
      <c r="AH740">
        <v>0</v>
      </c>
      <c r="AI740" t="s">
        <v>840</v>
      </c>
      <c r="AJ740">
        <v>45.806657999999999</v>
      </c>
      <c r="AK740" t="s">
        <v>841</v>
      </c>
      <c r="AL740">
        <v>-89.246063000000007</v>
      </c>
      <c r="AM740">
        <v>100</v>
      </c>
      <c r="AN740">
        <v>13000</v>
      </c>
      <c r="AO740" t="s">
        <v>118</v>
      </c>
      <c r="AP740">
        <v>152</v>
      </c>
      <c r="AQ740">
        <v>113</v>
      </c>
      <c r="AR740">
        <v>1408</v>
      </c>
      <c r="AZ740">
        <v>1200</v>
      </c>
      <c r="BA740">
        <v>1</v>
      </c>
      <c r="BB740" t="str">
        <f t="shared" si="36"/>
        <v xml:space="preserve">N690LS  </v>
      </c>
      <c r="BC740">
        <v>1</v>
      </c>
      <c r="BE740">
        <v>0</v>
      </c>
      <c r="BF740">
        <v>0</v>
      </c>
      <c r="BG740">
        <v>0</v>
      </c>
      <c r="BH740">
        <v>13400</v>
      </c>
      <c r="BI740">
        <v>1</v>
      </c>
      <c r="BJ740">
        <v>1</v>
      </c>
      <c r="BK740">
        <v>1</v>
      </c>
      <c r="BL740">
        <v>0</v>
      </c>
      <c r="BO740">
        <v>0</v>
      </c>
      <c r="BP740">
        <v>0</v>
      </c>
      <c r="BW740" t="str">
        <f>"13:56:38.457"</f>
        <v>13:56:38.457</v>
      </c>
      <c r="CJ740">
        <v>0</v>
      </c>
      <c r="CK740">
        <v>2</v>
      </c>
      <c r="CL740">
        <v>0</v>
      </c>
      <c r="CM740">
        <v>2</v>
      </c>
      <c r="CN740">
        <v>0</v>
      </c>
      <c r="CO740">
        <v>7</v>
      </c>
      <c r="CP740" t="s">
        <v>119</v>
      </c>
      <c r="CQ740">
        <v>197</v>
      </c>
      <c r="CR740">
        <v>1</v>
      </c>
      <c r="CW740">
        <v>7366276</v>
      </c>
      <c r="CY740">
        <v>1</v>
      </c>
      <c r="CZ740">
        <v>0</v>
      </c>
      <c r="DA740">
        <v>1</v>
      </c>
      <c r="DB740">
        <v>0</v>
      </c>
      <c r="DC740">
        <v>0</v>
      </c>
      <c r="DD740">
        <v>1</v>
      </c>
      <c r="DE740">
        <v>0</v>
      </c>
      <c r="DF740">
        <v>0</v>
      </c>
      <c r="DG740">
        <v>0</v>
      </c>
      <c r="DH740">
        <v>0</v>
      </c>
      <c r="DI740">
        <v>0</v>
      </c>
    </row>
    <row r="741" spans="1:113" x14ac:dyDescent="0.3">
      <c r="A741" t="str">
        <f>"09/28/2021 13:56:39.747"</f>
        <v>09/28/2021 13:56:39.747</v>
      </c>
      <c r="C741" t="str">
        <f t="shared" si="35"/>
        <v>FFDFD3C0</v>
      </c>
      <c r="D741" t="s">
        <v>120</v>
      </c>
      <c r="E741">
        <v>12</v>
      </c>
      <c r="F741">
        <v>1012</v>
      </c>
      <c r="G741" t="s">
        <v>114</v>
      </c>
      <c r="J741" t="s">
        <v>121</v>
      </c>
      <c r="K741">
        <v>0</v>
      </c>
      <c r="L741">
        <v>3</v>
      </c>
      <c r="M741">
        <v>0</v>
      </c>
      <c r="N741">
        <v>2</v>
      </c>
      <c r="O741">
        <v>1</v>
      </c>
      <c r="P741">
        <v>0</v>
      </c>
      <c r="Q741">
        <v>0</v>
      </c>
      <c r="S741" t="str">
        <f>"13:56:39.539"</f>
        <v>13:56:39.539</v>
      </c>
      <c r="T741" t="str">
        <f>"13:56:39.039"</f>
        <v>13:56:39.039</v>
      </c>
      <c r="U741" t="str">
        <f t="shared" si="37"/>
        <v>A92BC1</v>
      </c>
      <c r="V741">
        <v>0</v>
      </c>
      <c r="W741">
        <v>0</v>
      </c>
      <c r="X741">
        <v>2</v>
      </c>
      <c r="Z741">
        <v>0</v>
      </c>
      <c r="AA741">
        <v>9</v>
      </c>
      <c r="AB741">
        <v>3</v>
      </c>
      <c r="AC741">
        <v>0</v>
      </c>
      <c r="AD741">
        <v>10</v>
      </c>
      <c r="AE741">
        <v>0</v>
      </c>
      <c r="AF741">
        <v>3</v>
      </c>
      <c r="AG741">
        <v>2</v>
      </c>
      <c r="AH741">
        <v>0</v>
      </c>
      <c r="AI741" t="s">
        <v>842</v>
      </c>
      <c r="AJ741">
        <v>45.807215999999997</v>
      </c>
      <c r="AK741" t="s">
        <v>843</v>
      </c>
      <c r="AL741">
        <v>-89.245033000000006</v>
      </c>
      <c r="AM741">
        <v>100</v>
      </c>
      <c r="AN741">
        <v>13000</v>
      </c>
      <c r="AO741" t="s">
        <v>118</v>
      </c>
      <c r="AP741">
        <v>152</v>
      </c>
      <c r="AQ741">
        <v>113</v>
      </c>
      <c r="AR741">
        <v>1408</v>
      </c>
      <c r="AZ741">
        <v>1200</v>
      </c>
      <c r="BA741">
        <v>1</v>
      </c>
      <c r="BB741" t="str">
        <f t="shared" si="36"/>
        <v xml:space="preserve">N690LS  </v>
      </c>
      <c r="BC741">
        <v>1</v>
      </c>
      <c r="BE741">
        <v>0</v>
      </c>
      <c r="BF741">
        <v>0</v>
      </c>
      <c r="BG741">
        <v>0</v>
      </c>
      <c r="BH741">
        <v>13425</v>
      </c>
      <c r="BI741">
        <v>1</v>
      </c>
      <c r="BJ741">
        <v>1</v>
      </c>
      <c r="BK741">
        <v>1</v>
      </c>
      <c r="BL741">
        <v>0</v>
      </c>
      <c r="BO741">
        <v>0</v>
      </c>
      <c r="BP741">
        <v>0</v>
      </c>
      <c r="BW741" t="str">
        <f>"13:56:39.545"</f>
        <v>13:56:39.545</v>
      </c>
      <c r="CJ741">
        <v>0</v>
      </c>
      <c r="CK741">
        <v>2</v>
      </c>
      <c r="CL741">
        <v>0</v>
      </c>
      <c r="CM741">
        <v>2</v>
      </c>
      <c r="CN741">
        <v>0</v>
      </c>
      <c r="CO741">
        <v>7</v>
      </c>
      <c r="CP741" t="s">
        <v>119</v>
      </c>
      <c r="CQ741">
        <v>197</v>
      </c>
      <c r="CR741">
        <v>0</v>
      </c>
      <c r="CW741">
        <v>16044764</v>
      </c>
      <c r="CY741">
        <v>1</v>
      </c>
      <c r="CZ741">
        <v>0</v>
      </c>
      <c r="DA741">
        <v>0</v>
      </c>
      <c r="DB741">
        <v>0</v>
      </c>
      <c r="DC741">
        <v>0</v>
      </c>
      <c r="DD741">
        <v>1</v>
      </c>
      <c r="DE741">
        <v>0</v>
      </c>
      <c r="DF741">
        <v>0</v>
      </c>
      <c r="DG741">
        <v>0</v>
      </c>
      <c r="DH741">
        <v>0</v>
      </c>
      <c r="DI741">
        <v>0</v>
      </c>
    </row>
    <row r="742" spans="1:113" x14ac:dyDescent="0.3">
      <c r="A742" t="str">
        <f>"09/28/2021 13:56:39.747"</f>
        <v>09/28/2021 13:56:39.747</v>
      </c>
      <c r="C742" t="str">
        <f t="shared" si="35"/>
        <v>FFDFD3C0</v>
      </c>
      <c r="D742" t="s">
        <v>113</v>
      </c>
      <c r="E742">
        <v>7</v>
      </c>
      <c r="H742">
        <v>170</v>
      </c>
      <c r="I742" t="s">
        <v>114</v>
      </c>
      <c r="J742" t="s">
        <v>115</v>
      </c>
      <c r="K742">
        <v>0</v>
      </c>
      <c r="L742">
        <v>3</v>
      </c>
      <c r="M742">
        <v>0</v>
      </c>
      <c r="N742">
        <v>2</v>
      </c>
      <c r="O742">
        <v>1</v>
      </c>
      <c r="P742">
        <v>0</v>
      </c>
      <c r="Q742">
        <v>0</v>
      </c>
      <c r="S742" t="str">
        <f>"13:56:39.539"</f>
        <v>13:56:39.539</v>
      </c>
      <c r="T742" t="str">
        <f>"13:56:39.039"</f>
        <v>13:56:39.039</v>
      </c>
      <c r="U742" t="str">
        <f t="shared" si="37"/>
        <v>A92BC1</v>
      </c>
      <c r="V742">
        <v>0</v>
      </c>
      <c r="W742">
        <v>0</v>
      </c>
      <c r="X742">
        <v>2</v>
      </c>
      <c r="Z742">
        <v>0</v>
      </c>
      <c r="AA742">
        <v>9</v>
      </c>
      <c r="AB742">
        <v>3</v>
      </c>
      <c r="AC742">
        <v>0</v>
      </c>
      <c r="AD742">
        <v>10</v>
      </c>
      <c r="AE742">
        <v>0</v>
      </c>
      <c r="AF742">
        <v>3</v>
      </c>
      <c r="AG742">
        <v>2</v>
      </c>
      <c r="AH742">
        <v>0</v>
      </c>
      <c r="AI742" t="s">
        <v>842</v>
      </c>
      <c r="AJ742">
        <v>45.807215999999997</v>
      </c>
      <c r="AK742" t="s">
        <v>843</v>
      </c>
      <c r="AL742">
        <v>-89.245033000000006</v>
      </c>
      <c r="AM742">
        <v>100</v>
      </c>
      <c r="AN742">
        <v>13000</v>
      </c>
      <c r="AO742" t="s">
        <v>118</v>
      </c>
      <c r="AP742">
        <v>152</v>
      </c>
      <c r="AQ742">
        <v>113</v>
      </c>
      <c r="AR742">
        <v>1408</v>
      </c>
      <c r="AZ742">
        <v>1200</v>
      </c>
      <c r="BA742">
        <v>1</v>
      </c>
      <c r="BB742" t="str">
        <f t="shared" si="36"/>
        <v xml:space="preserve">N690LS  </v>
      </c>
      <c r="BC742">
        <v>1</v>
      </c>
      <c r="BE742">
        <v>0</v>
      </c>
      <c r="BF742">
        <v>0</v>
      </c>
      <c r="BG742">
        <v>0</v>
      </c>
      <c r="BH742">
        <v>13425</v>
      </c>
      <c r="BI742">
        <v>1</v>
      </c>
      <c r="BJ742">
        <v>1</v>
      </c>
      <c r="BK742">
        <v>1</v>
      </c>
      <c r="BL742">
        <v>0</v>
      </c>
      <c r="BO742">
        <v>0</v>
      </c>
      <c r="BP742">
        <v>0</v>
      </c>
      <c r="BW742" t="str">
        <f>"13:56:39.545"</f>
        <v>13:56:39.545</v>
      </c>
      <c r="CJ742">
        <v>0</v>
      </c>
      <c r="CK742">
        <v>2</v>
      </c>
      <c r="CL742">
        <v>0</v>
      </c>
      <c r="CM742">
        <v>2</v>
      </c>
      <c r="CN742">
        <v>0</v>
      </c>
      <c r="CO742">
        <v>7</v>
      </c>
      <c r="CP742" t="s">
        <v>119</v>
      </c>
      <c r="CQ742">
        <v>197</v>
      </c>
      <c r="CR742">
        <v>0</v>
      </c>
      <c r="CW742">
        <v>16044764</v>
      </c>
      <c r="CY742">
        <v>1</v>
      </c>
      <c r="CZ742">
        <v>0</v>
      </c>
      <c r="DA742">
        <v>1</v>
      </c>
      <c r="DB742">
        <v>0</v>
      </c>
      <c r="DC742">
        <v>0</v>
      </c>
      <c r="DD742">
        <v>1</v>
      </c>
      <c r="DE742">
        <v>0</v>
      </c>
      <c r="DF742">
        <v>0</v>
      </c>
      <c r="DG742">
        <v>0</v>
      </c>
      <c r="DH742">
        <v>0</v>
      </c>
      <c r="DI742">
        <v>0</v>
      </c>
    </row>
    <row r="743" spans="1:113" x14ac:dyDescent="0.3">
      <c r="A743" t="str">
        <f>"09/28/2021 13:56:40.825"</f>
        <v>09/28/2021 13:56:40.825</v>
      </c>
      <c r="C743" t="str">
        <f t="shared" ref="C743:C806" si="38">"FFDFD3C0"</f>
        <v>FFDFD3C0</v>
      </c>
      <c r="D743" t="s">
        <v>120</v>
      </c>
      <c r="E743">
        <v>12</v>
      </c>
      <c r="F743">
        <v>1012</v>
      </c>
      <c r="G743" t="s">
        <v>114</v>
      </c>
      <c r="J743" t="s">
        <v>121</v>
      </c>
      <c r="K743">
        <v>0</v>
      </c>
      <c r="L743">
        <v>3</v>
      </c>
      <c r="M743">
        <v>0</v>
      </c>
      <c r="N743">
        <v>2</v>
      </c>
      <c r="O743">
        <v>1</v>
      </c>
      <c r="P743">
        <v>0</v>
      </c>
      <c r="Q743">
        <v>0</v>
      </c>
      <c r="S743" t="str">
        <f>"13:56:40.602"</f>
        <v>13:56:40.602</v>
      </c>
      <c r="T743" t="str">
        <f>"13:56:40.102"</f>
        <v>13:56:40.102</v>
      </c>
      <c r="U743" t="str">
        <f t="shared" si="37"/>
        <v>A92BC1</v>
      </c>
      <c r="V743">
        <v>0</v>
      </c>
      <c r="W743">
        <v>0</v>
      </c>
      <c r="X743">
        <v>2</v>
      </c>
      <c r="Z743">
        <v>0</v>
      </c>
      <c r="AA743">
        <v>9</v>
      </c>
      <c r="AB743">
        <v>3</v>
      </c>
      <c r="AC743">
        <v>0</v>
      </c>
      <c r="AD743">
        <v>10</v>
      </c>
      <c r="AE743">
        <v>0</v>
      </c>
      <c r="AF743">
        <v>3</v>
      </c>
      <c r="AG743">
        <v>2</v>
      </c>
      <c r="AH743">
        <v>0</v>
      </c>
      <c r="AI743" t="s">
        <v>844</v>
      </c>
      <c r="AJ743">
        <v>45.807774000000002</v>
      </c>
      <c r="AK743" t="s">
        <v>845</v>
      </c>
      <c r="AL743">
        <v>-89.244024999999993</v>
      </c>
      <c r="AM743">
        <v>100</v>
      </c>
      <c r="AN743">
        <v>13000</v>
      </c>
      <c r="AO743" t="s">
        <v>118</v>
      </c>
      <c r="AP743">
        <v>152</v>
      </c>
      <c r="AQ743">
        <v>113</v>
      </c>
      <c r="AR743">
        <v>1408</v>
      </c>
      <c r="AZ743">
        <v>1200</v>
      </c>
      <c r="BA743">
        <v>1</v>
      </c>
      <c r="BB743" t="str">
        <f t="shared" ref="BB743:BB806" si="39">"N690LS  "</f>
        <v xml:space="preserve">N690LS  </v>
      </c>
      <c r="BC743">
        <v>1</v>
      </c>
      <c r="BE743">
        <v>0</v>
      </c>
      <c r="BF743">
        <v>0</v>
      </c>
      <c r="BG743">
        <v>0</v>
      </c>
      <c r="BH743">
        <v>13450</v>
      </c>
      <c r="BI743">
        <v>1</v>
      </c>
      <c r="BJ743">
        <v>1</v>
      </c>
      <c r="BK743">
        <v>1</v>
      </c>
      <c r="BL743">
        <v>0</v>
      </c>
      <c r="BO743">
        <v>0</v>
      </c>
      <c r="BP743">
        <v>0</v>
      </c>
      <c r="BW743" t="str">
        <f>"13:56:40.608"</f>
        <v>13:56:40.608</v>
      </c>
      <c r="CJ743">
        <v>0</v>
      </c>
      <c r="CK743">
        <v>2</v>
      </c>
      <c r="CL743">
        <v>0</v>
      </c>
      <c r="CM743">
        <v>2</v>
      </c>
      <c r="CN743">
        <v>0</v>
      </c>
      <c r="CO743">
        <v>7</v>
      </c>
      <c r="CP743" t="s">
        <v>119</v>
      </c>
      <c r="CQ743">
        <v>197</v>
      </c>
      <c r="CR743">
        <v>0</v>
      </c>
      <c r="CW743">
        <v>16045074</v>
      </c>
      <c r="CY743">
        <v>1</v>
      </c>
      <c r="CZ743">
        <v>0</v>
      </c>
      <c r="DA743">
        <v>0</v>
      </c>
      <c r="DB743">
        <v>0</v>
      </c>
      <c r="DC743">
        <v>0</v>
      </c>
      <c r="DD743">
        <v>1</v>
      </c>
      <c r="DE743">
        <v>0</v>
      </c>
      <c r="DF743">
        <v>0</v>
      </c>
      <c r="DG743">
        <v>0</v>
      </c>
      <c r="DH743">
        <v>0</v>
      </c>
      <c r="DI743">
        <v>0</v>
      </c>
    </row>
    <row r="744" spans="1:113" x14ac:dyDescent="0.3">
      <c r="A744" t="str">
        <f>"09/28/2021 13:56:40.825"</f>
        <v>09/28/2021 13:56:40.825</v>
      </c>
      <c r="C744" t="str">
        <f t="shared" si="38"/>
        <v>FFDFD3C0</v>
      </c>
      <c r="D744" t="s">
        <v>113</v>
      </c>
      <c r="E744">
        <v>7</v>
      </c>
      <c r="H744">
        <v>170</v>
      </c>
      <c r="I744" t="s">
        <v>114</v>
      </c>
      <c r="J744" t="s">
        <v>115</v>
      </c>
      <c r="K744">
        <v>0</v>
      </c>
      <c r="L744">
        <v>3</v>
      </c>
      <c r="M744">
        <v>0</v>
      </c>
      <c r="N744">
        <v>2</v>
      </c>
      <c r="O744">
        <v>1</v>
      </c>
      <c r="P744">
        <v>0</v>
      </c>
      <c r="Q744">
        <v>0</v>
      </c>
      <c r="S744" t="str">
        <f>"13:56:40.602"</f>
        <v>13:56:40.602</v>
      </c>
      <c r="T744" t="str">
        <f>"13:56:40.102"</f>
        <v>13:56:40.102</v>
      </c>
      <c r="U744" t="str">
        <f t="shared" si="37"/>
        <v>A92BC1</v>
      </c>
      <c r="V744">
        <v>0</v>
      </c>
      <c r="W744">
        <v>0</v>
      </c>
      <c r="X744">
        <v>2</v>
      </c>
      <c r="Z744">
        <v>0</v>
      </c>
      <c r="AA744">
        <v>9</v>
      </c>
      <c r="AB744">
        <v>3</v>
      </c>
      <c r="AC744">
        <v>0</v>
      </c>
      <c r="AD744">
        <v>10</v>
      </c>
      <c r="AE744">
        <v>0</v>
      </c>
      <c r="AF744">
        <v>3</v>
      </c>
      <c r="AG744">
        <v>2</v>
      </c>
      <c r="AH744">
        <v>0</v>
      </c>
      <c r="AI744" t="s">
        <v>844</v>
      </c>
      <c r="AJ744">
        <v>45.807774000000002</v>
      </c>
      <c r="AK744" t="s">
        <v>845</v>
      </c>
      <c r="AL744">
        <v>-89.244024999999993</v>
      </c>
      <c r="AM744">
        <v>100</v>
      </c>
      <c r="AN744">
        <v>13000</v>
      </c>
      <c r="AO744" t="s">
        <v>118</v>
      </c>
      <c r="AP744">
        <v>152</v>
      </c>
      <c r="AQ744">
        <v>113</v>
      </c>
      <c r="AR744">
        <v>1408</v>
      </c>
      <c r="AZ744">
        <v>1200</v>
      </c>
      <c r="BA744">
        <v>1</v>
      </c>
      <c r="BB744" t="str">
        <f t="shared" si="39"/>
        <v xml:space="preserve">N690LS  </v>
      </c>
      <c r="BC744">
        <v>1</v>
      </c>
      <c r="BE744">
        <v>0</v>
      </c>
      <c r="BF744">
        <v>0</v>
      </c>
      <c r="BG744">
        <v>0</v>
      </c>
      <c r="BH744">
        <v>13450</v>
      </c>
      <c r="BI744">
        <v>1</v>
      </c>
      <c r="BJ744">
        <v>1</v>
      </c>
      <c r="BK744">
        <v>1</v>
      </c>
      <c r="BL744">
        <v>0</v>
      </c>
      <c r="BO744">
        <v>0</v>
      </c>
      <c r="BP744">
        <v>0</v>
      </c>
      <c r="BW744" t="str">
        <f>"13:56:40.608"</f>
        <v>13:56:40.608</v>
      </c>
      <c r="CJ744">
        <v>0</v>
      </c>
      <c r="CK744">
        <v>2</v>
      </c>
      <c r="CL744">
        <v>0</v>
      </c>
      <c r="CM744">
        <v>2</v>
      </c>
      <c r="CN744">
        <v>0</v>
      </c>
      <c r="CO744">
        <v>7</v>
      </c>
      <c r="CP744" t="s">
        <v>119</v>
      </c>
      <c r="CQ744">
        <v>197</v>
      </c>
      <c r="CR744">
        <v>0</v>
      </c>
      <c r="CW744">
        <v>16045074</v>
      </c>
      <c r="CY744">
        <v>1</v>
      </c>
      <c r="CZ744">
        <v>0</v>
      </c>
      <c r="DA744">
        <v>1</v>
      </c>
      <c r="DB744">
        <v>0</v>
      </c>
      <c r="DC744">
        <v>0</v>
      </c>
      <c r="DD744">
        <v>1</v>
      </c>
      <c r="DE744">
        <v>0</v>
      </c>
      <c r="DF744">
        <v>0</v>
      </c>
      <c r="DG744">
        <v>0</v>
      </c>
      <c r="DH744">
        <v>0</v>
      </c>
      <c r="DI744">
        <v>0</v>
      </c>
    </row>
    <row r="745" spans="1:113" x14ac:dyDescent="0.3">
      <c r="A745" t="str">
        <f>"09/28/2021 13:56:41.729"</f>
        <v>09/28/2021 13:56:41.729</v>
      </c>
      <c r="C745" t="str">
        <f t="shared" si="38"/>
        <v>FFDFD3C0</v>
      </c>
      <c r="D745" t="s">
        <v>120</v>
      </c>
      <c r="E745">
        <v>12</v>
      </c>
      <c r="F745">
        <v>1012</v>
      </c>
      <c r="G745" t="s">
        <v>114</v>
      </c>
      <c r="J745" t="s">
        <v>121</v>
      </c>
      <c r="K745">
        <v>0</v>
      </c>
      <c r="L745">
        <v>3</v>
      </c>
      <c r="M745">
        <v>0</v>
      </c>
      <c r="N745">
        <v>2</v>
      </c>
      <c r="O745">
        <v>1</v>
      </c>
      <c r="P745">
        <v>0</v>
      </c>
      <c r="Q745">
        <v>0</v>
      </c>
      <c r="S745" t="str">
        <f>"13:56:41.477"</f>
        <v>13:56:41.477</v>
      </c>
      <c r="T745" t="str">
        <f>"13:56:41.077"</f>
        <v>13:56:41.077</v>
      </c>
      <c r="U745" t="str">
        <f t="shared" si="37"/>
        <v>A92BC1</v>
      </c>
      <c r="V745">
        <v>0</v>
      </c>
      <c r="W745">
        <v>0</v>
      </c>
      <c r="X745">
        <v>2</v>
      </c>
      <c r="Z745">
        <v>0</v>
      </c>
      <c r="AA745">
        <v>9</v>
      </c>
      <c r="AB745">
        <v>3</v>
      </c>
      <c r="AC745">
        <v>0</v>
      </c>
      <c r="AD745">
        <v>10</v>
      </c>
      <c r="AE745">
        <v>0</v>
      </c>
      <c r="AF745">
        <v>3</v>
      </c>
      <c r="AG745">
        <v>2</v>
      </c>
      <c r="AH745">
        <v>0</v>
      </c>
      <c r="AI745" t="s">
        <v>846</v>
      </c>
      <c r="AJ745">
        <v>45.808245999999997</v>
      </c>
      <c r="AK745" t="s">
        <v>847</v>
      </c>
      <c r="AL745">
        <v>-89.243101999999993</v>
      </c>
      <c r="AM745">
        <v>100</v>
      </c>
      <c r="AN745">
        <v>13100</v>
      </c>
      <c r="AO745" t="s">
        <v>118</v>
      </c>
      <c r="AP745">
        <v>151</v>
      </c>
      <c r="AQ745">
        <v>114</v>
      </c>
      <c r="AR745">
        <v>1408</v>
      </c>
      <c r="AZ745">
        <v>1200</v>
      </c>
      <c r="BA745">
        <v>1</v>
      </c>
      <c r="BB745" t="str">
        <f t="shared" si="39"/>
        <v xml:space="preserve">N690LS  </v>
      </c>
      <c r="BC745">
        <v>1</v>
      </c>
      <c r="BE745">
        <v>0</v>
      </c>
      <c r="BF745">
        <v>0</v>
      </c>
      <c r="BG745">
        <v>0</v>
      </c>
      <c r="BH745">
        <v>13475</v>
      </c>
      <c r="BI745">
        <v>1</v>
      </c>
      <c r="BJ745">
        <v>1</v>
      </c>
      <c r="BK745">
        <v>1</v>
      </c>
      <c r="BL745">
        <v>0</v>
      </c>
      <c r="BO745">
        <v>0</v>
      </c>
      <c r="BP745">
        <v>0</v>
      </c>
      <c r="BW745" t="str">
        <f>"13:56:41.483"</f>
        <v>13:56:41.483</v>
      </c>
      <c r="CJ745">
        <v>0</v>
      </c>
      <c r="CK745">
        <v>2</v>
      </c>
      <c r="CL745">
        <v>0</v>
      </c>
      <c r="CM745">
        <v>2</v>
      </c>
      <c r="CN745">
        <v>0</v>
      </c>
      <c r="CO745">
        <v>7</v>
      </c>
      <c r="CP745" t="s">
        <v>119</v>
      </c>
      <c r="CQ745">
        <v>197</v>
      </c>
      <c r="CR745">
        <v>1</v>
      </c>
      <c r="CW745">
        <v>7369348</v>
      </c>
      <c r="CY745">
        <v>1</v>
      </c>
      <c r="CZ745">
        <v>0</v>
      </c>
      <c r="DA745">
        <v>0</v>
      </c>
      <c r="DB745">
        <v>0</v>
      </c>
      <c r="DC745">
        <v>0</v>
      </c>
      <c r="DD745">
        <v>1</v>
      </c>
      <c r="DE745">
        <v>0</v>
      </c>
      <c r="DF745">
        <v>0</v>
      </c>
      <c r="DG745">
        <v>0</v>
      </c>
      <c r="DH745">
        <v>0</v>
      </c>
      <c r="DI745">
        <v>0</v>
      </c>
    </row>
    <row r="746" spans="1:113" x14ac:dyDescent="0.3">
      <c r="A746" t="str">
        <f>"09/28/2021 13:56:41.729"</f>
        <v>09/28/2021 13:56:41.729</v>
      </c>
      <c r="C746" t="str">
        <f t="shared" si="38"/>
        <v>FFDFD3C0</v>
      </c>
      <c r="D746" t="s">
        <v>113</v>
      </c>
      <c r="E746">
        <v>7</v>
      </c>
      <c r="H746">
        <v>170</v>
      </c>
      <c r="I746" t="s">
        <v>114</v>
      </c>
      <c r="J746" t="s">
        <v>115</v>
      </c>
      <c r="K746">
        <v>0</v>
      </c>
      <c r="L746">
        <v>3</v>
      </c>
      <c r="M746">
        <v>0</v>
      </c>
      <c r="N746">
        <v>2</v>
      </c>
      <c r="O746">
        <v>1</v>
      </c>
      <c r="P746">
        <v>0</v>
      </c>
      <c r="Q746">
        <v>0</v>
      </c>
      <c r="S746" t="str">
        <f>"13:56:41.477"</f>
        <v>13:56:41.477</v>
      </c>
      <c r="T746" t="str">
        <f>"13:56:41.077"</f>
        <v>13:56:41.077</v>
      </c>
      <c r="U746" t="str">
        <f t="shared" si="37"/>
        <v>A92BC1</v>
      </c>
      <c r="V746">
        <v>0</v>
      </c>
      <c r="W746">
        <v>0</v>
      </c>
      <c r="X746">
        <v>2</v>
      </c>
      <c r="Z746">
        <v>0</v>
      </c>
      <c r="AA746">
        <v>9</v>
      </c>
      <c r="AB746">
        <v>3</v>
      </c>
      <c r="AC746">
        <v>0</v>
      </c>
      <c r="AD746">
        <v>10</v>
      </c>
      <c r="AE746">
        <v>0</v>
      </c>
      <c r="AF746">
        <v>3</v>
      </c>
      <c r="AG746">
        <v>2</v>
      </c>
      <c r="AH746">
        <v>0</v>
      </c>
      <c r="AI746" t="s">
        <v>846</v>
      </c>
      <c r="AJ746">
        <v>45.808245999999997</v>
      </c>
      <c r="AK746" t="s">
        <v>847</v>
      </c>
      <c r="AL746">
        <v>-89.243101999999993</v>
      </c>
      <c r="AM746">
        <v>100</v>
      </c>
      <c r="AN746">
        <v>13100</v>
      </c>
      <c r="AO746" t="s">
        <v>118</v>
      </c>
      <c r="AP746">
        <v>151</v>
      </c>
      <c r="AQ746">
        <v>114</v>
      </c>
      <c r="AR746">
        <v>1408</v>
      </c>
      <c r="AZ746">
        <v>1200</v>
      </c>
      <c r="BA746">
        <v>1</v>
      </c>
      <c r="BB746" t="str">
        <f t="shared" si="39"/>
        <v xml:space="preserve">N690LS  </v>
      </c>
      <c r="BC746">
        <v>1</v>
      </c>
      <c r="BE746">
        <v>0</v>
      </c>
      <c r="BF746">
        <v>0</v>
      </c>
      <c r="BG746">
        <v>0</v>
      </c>
      <c r="BH746">
        <v>13475</v>
      </c>
      <c r="BI746">
        <v>1</v>
      </c>
      <c r="BJ746">
        <v>1</v>
      </c>
      <c r="BK746">
        <v>1</v>
      </c>
      <c r="BL746">
        <v>0</v>
      </c>
      <c r="BO746">
        <v>0</v>
      </c>
      <c r="BP746">
        <v>0</v>
      </c>
      <c r="BW746" t="str">
        <f>"13:56:41.483"</f>
        <v>13:56:41.483</v>
      </c>
      <c r="CJ746">
        <v>0</v>
      </c>
      <c r="CK746">
        <v>2</v>
      </c>
      <c r="CL746">
        <v>0</v>
      </c>
      <c r="CM746">
        <v>2</v>
      </c>
      <c r="CN746">
        <v>0</v>
      </c>
      <c r="CO746">
        <v>7</v>
      </c>
      <c r="CP746" t="s">
        <v>119</v>
      </c>
      <c r="CQ746">
        <v>197</v>
      </c>
      <c r="CR746">
        <v>1</v>
      </c>
      <c r="CW746">
        <v>7369348</v>
      </c>
      <c r="CY746">
        <v>1</v>
      </c>
      <c r="CZ746">
        <v>0</v>
      </c>
      <c r="DA746">
        <v>1</v>
      </c>
      <c r="DB746">
        <v>0</v>
      </c>
      <c r="DC746">
        <v>0</v>
      </c>
      <c r="DD746">
        <v>1</v>
      </c>
      <c r="DE746">
        <v>0</v>
      </c>
      <c r="DF746">
        <v>0</v>
      </c>
      <c r="DG746">
        <v>0</v>
      </c>
      <c r="DH746">
        <v>0</v>
      </c>
      <c r="DI746">
        <v>0</v>
      </c>
    </row>
    <row r="747" spans="1:113" x14ac:dyDescent="0.3">
      <c r="A747" t="str">
        <f>"09/28/2021 13:56:42.729"</f>
        <v>09/28/2021 13:56:42.729</v>
      </c>
      <c r="C747" t="str">
        <f t="shared" si="38"/>
        <v>FFDFD3C0</v>
      </c>
      <c r="D747" t="s">
        <v>120</v>
      </c>
      <c r="E747">
        <v>12</v>
      </c>
      <c r="F747">
        <v>1012</v>
      </c>
      <c r="G747" t="s">
        <v>114</v>
      </c>
      <c r="J747" t="s">
        <v>121</v>
      </c>
      <c r="K747">
        <v>0</v>
      </c>
      <c r="L747">
        <v>3</v>
      </c>
      <c r="M747">
        <v>0</v>
      </c>
      <c r="N747">
        <v>2</v>
      </c>
      <c r="O747">
        <v>1</v>
      </c>
      <c r="P747">
        <v>0</v>
      </c>
      <c r="Q747">
        <v>0</v>
      </c>
      <c r="S747" t="str">
        <f>"13:56:42.469"</f>
        <v>13:56:42.469</v>
      </c>
      <c r="T747" t="str">
        <f>"13:56:42.069"</f>
        <v>13:56:42.069</v>
      </c>
      <c r="U747" t="str">
        <f t="shared" si="37"/>
        <v>A92BC1</v>
      </c>
      <c r="V747">
        <v>0</v>
      </c>
      <c r="W747">
        <v>0</v>
      </c>
      <c r="X747">
        <v>2</v>
      </c>
      <c r="Z747">
        <v>0</v>
      </c>
      <c r="AA747">
        <v>9</v>
      </c>
      <c r="AB747">
        <v>3</v>
      </c>
      <c r="AC747">
        <v>0</v>
      </c>
      <c r="AD747">
        <v>10</v>
      </c>
      <c r="AE747">
        <v>0</v>
      </c>
      <c r="AF747">
        <v>3</v>
      </c>
      <c r="AG747">
        <v>2</v>
      </c>
      <c r="AH747">
        <v>0</v>
      </c>
      <c r="AI747" t="s">
        <v>848</v>
      </c>
      <c r="AJ747">
        <v>45.808760999999997</v>
      </c>
      <c r="AK747" t="s">
        <v>849</v>
      </c>
      <c r="AL747">
        <v>-89.242071999999993</v>
      </c>
      <c r="AM747">
        <v>100</v>
      </c>
      <c r="AN747">
        <v>13100</v>
      </c>
      <c r="AO747" t="s">
        <v>118</v>
      </c>
      <c r="AP747">
        <v>151</v>
      </c>
      <c r="AQ747">
        <v>114</v>
      </c>
      <c r="AR747">
        <v>1408</v>
      </c>
      <c r="AZ747">
        <v>1200</v>
      </c>
      <c r="BA747">
        <v>1</v>
      </c>
      <c r="BB747" t="str">
        <f t="shared" si="39"/>
        <v xml:space="preserve">N690LS  </v>
      </c>
      <c r="BC747">
        <v>1</v>
      </c>
      <c r="BE747">
        <v>0</v>
      </c>
      <c r="BF747">
        <v>0</v>
      </c>
      <c r="BG747">
        <v>0</v>
      </c>
      <c r="BH747">
        <v>13500</v>
      </c>
      <c r="BI747">
        <v>1</v>
      </c>
      <c r="BJ747">
        <v>1</v>
      </c>
      <c r="BK747">
        <v>1</v>
      </c>
      <c r="BL747">
        <v>0</v>
      </c>
      <c r="BO747">
        <v>0</v>
      </c>
      <c r="BP747">
        <v>0</v>
      </c>
      <c r="BW747" t="str">
        <f>"13:56:42.473"</f>
        <v>13:56:42.473</v>
      </c>
      <c r="CJ747">
        <v>0</v>
      </c>
      <c r="CK747">
        <v>2</v>
      </c>
      <c r="CL747">
        <v>0</v>
      </c>
      <c r="CM747">
        <v>2</v>
      </c>
      <c r="CN747">
        <v>0</v>
      </c>
      <c r="CO747">
        <v>7</v>
      </c>
      <c r="CP747" t="s">
        <v>119</v>
      </c>
      <c r="CQ747">
        <v>197</v>
      </c>
      <c r="CR747">
        <v>0</v>
      </c>
      <c r="CW747">
        <v>16045618</v>
      </c>
      <c r="CY747">
        <v>1</v>
      </c>
      <c r="CZ747">
        <v>0</v>
      </c>
      <c r="DA747">
        <v>0</v>
      </c>
      <c r="DB747">
        <v>0</v>
      </c>
      <c r="DC747">
        <v>0</v>
      </c>
      <c r="DD747">
        <v>1</v>
      </c>
      <c r="DE747">
        <v>0</v>
      </c>
      <c r="DF747">
        <v>0</v>
      </c>
      <c r="DG747">
        <v>0</v>
      </c>
      <c r="DH747">
        <v>0</v>
      </c>
      <c r="DI747">
        <v>0</v>
      </c>
    </row>
    <row r="748" spans="1:113" x14ac:dyDescent="0.3">
      <c r="A748" t="str">
        <f>"09/28/2021 13:56:42.729"</f>
        <v>09/28/2021 13:56:42.729</v>
      </c>
      <c r="C748" t="str">
        <f t="shared" si="38"/>
        <v>FFDFD3C0</v>
      </c>
      <c r="D748" t="s">
        <v>113</v>
      </c>
      <c r="E748">
        <v>7</v>
      </c>
      <c r="H748">
        <v>170</v>
      </c>
      <c r="I748" t="s">
        <v>114</v>
      </c>
      <c r="J748" t="s">
        <v>115</v>
      </c>
      <c r="K748">
        <v>0</v>
      </c>
      <c r="L748">
        <v>3</v>
      </c>
      <c r="M748">
        <v>0</v>
      </c>
      <c r="N748">
        <v>2</v>
      </c>
      <c r="O748">
        <v>1</v>
      </c>
      <c r="P748">
        <v>0</v>
      </c>
      <c r="Q748">
        <v>0</v>
      </c>
      <c r="S748" t="str">
        <f>"13:56:42.469"</f>
        <v>13:56:42.469</v>
      </c>
      <c r="T748" t="str">
        <f>"13:56:42.069"</f>
        <v>13:56:42.069</v>
      </c>
      <c r="U748" t="str">
        <f t="shared" si="37"/>
        <v>A92BC1</v>
      </c>
      <c r="V748">
        <v>0</v>
      </c>
      <c r="W748">
        <v>0</v>
      </c>
      <c r="X748">
        <v>2</v>
      </c>
      <c r="Z748">
        <v>0</v>
      </c>
      <c r="AA748">
        <v>9</v>
      </c>
      <c r="AB748">
        <v>3</v>
      </c>
      <c r="AC748">
        <v>0</v>
      </c>
      <c r="AD748">
        <v>10</v>
      </c>
      <c r="AE748">
        <v>0</v>
      </c>
      <c r="AF748">
        <v>3</v>
      </c>
      <c r="AG748">
        <v>2</v>
      </c>
      <c r="AH748">
        <v>0</v>
      </c>
      <c r="AI748" t="s">
        <v>848</v>
      </c>
      <c r="AJ748">
        <v>45.808760999999997</v>
      </c>
      <c r="AK748" t="s">
        <v>849</v>
      </c>
      <c r="AL748">
        <v>-89.242071999999993</v>
      </c>
      <c r="AM748">
        <v>100</v>
      </c>
      <c r="AN748">
        <v>13100</v>
      </c>
      <c r="AO748" t="s">
        <v>118</v>
      </c>
      <c r="AP748">
        <v>151</v>
      </c>
      <c r="AQ748">
        <v>114</v>
      </c>
      <c r="AR748">
        <v>1408</v>
      </c>
      <c r="AZ748">
        <v>1200</v>
      </c>
      <c r="BA748">
        <v>1</v>
      </c>
      <c r="BB748" t="str">
        <f t="shared" si="39"/>
        <v xml:space="preserve">N690LS  </v>
      </c>
      <c r="BC748">
        <v>1</v>
      </c>
      <c r="BE748">
        <v>0</v>
      </c>
      <c r="BF748">
        <v>0</v>
      </c>
      <c r="BG748">
        <v>0</v>
      </c>
      <c r="BH748">
        <v>13500</v>
      </c>
      <c r="BI748">
        <v>1</v>
      </c>
      <c r="BJ748">
        <v>1</v>
      </c>
      <c r="BK748">
        <v>1</v>
      </c>
      <c r="BL748">
        <v>0</v>
      </c>
      <c r="BO748">
        <v>0</v>
      </c>
      <c r="BP748">
        <v>0</v>
      </c>
      <c r="BW748" t="str">
        <f>"13:56:42.473"</f>
        <v>13:56:42.473</v>
      </c>
      <c r="CJ748">
        <v>0</v>
      </c>
      <c r="CK748">
        <v>2</v>
      </c>
      <c r="CL748">
        <v>0</v>
      </c>
      <c r="CM748">
        <v>2</v>
      </c>
      <c r="CN748">
        <v>0</v>
      </c>
      <c r="CO748">
        <v>7</v>
      </c>
      <c r="CP748" t="s">
        <v>119</v>
      </c>
      <c r="CQ748">
        <v>197</v>
      </c>
      <c r="CR748">
        <v>0</v>
      </c>
      <c r="CW748">
        <v>16045618</v>
      </c>
      <c r="CY748">
        <v>1</v>
      </c>
      <c r="CZ748">
        <v>0</v>
      </c>
      <c r="DA748">
        <v>1</v>
      </c>
      <c r="DB748">
        <v>0</v>
      </c>
      <c r="DC748">
        <v>0</v>
      </c>
      <c r="DD748">
        <v>1</v>
      </c>
      <c r="DE748">
        <v>0</v>
      </c>
      <c r="DF748">
        <v>0</v>
      </c>
      <c r="DG748">
        <v>0</v>
      </c>
      <c r="DH748">
        <v>0</v>
      </c>
      <c r="DI748">
        <v>0</v>
      </c>
    </row>
    <row r="749" spans="1:113" x14ac:dyDescent="0.3">
      <c r="A749" t="str">
        <f>"09/28/2021 13:56:43.604"</f>
        <v>09/28/2021 13:56:43.604</v>
      </c>
      <c r="C749" t="str">
        <f t="shared" si="38"/>
        <v>FFDFD3C0</v>
      </c>
      <c r="D749" t="s">
        <v>120</v>
      </c>
      <c r="E749">
        <v>12</v>
      </c>
      <c r="F749">
        <v>1012</v>
      </c>
      <c r="G749" t="s">
        <v>114</v>
      </c>
      <c r="J749" t="s">
        <v>121</v>
      </c>
      <c r="K749">
        <v>0</v>
      </c>
      <c r="L749">
        <v>3</v>
      </c>
      <c r="M749">
        <v>0</v>
      </c>
      <c r="N749">
        <v>2</v>
      </c>
      <c r="O749">
        <v>1</v>
      </c>
      <c r="P749">
        <v>0</v>
      </c>
      <c r="Q749">
        <v>0</v>
      </c>
      <c r="S749" t="str">
        <f>"13:56:43.367"</f>
        <v>13:56:43.367</v>
      </c>
      <c r="T749" t="str">
        <f>"13:56:42.967"</f>
        <v>13:56:42.967</v>
      </c>
      <c r="U749" t="str">
        <f t="shared" si="37"/>
        <v>A92BC1</v>
      </c>
      <c r="V749">
        <v>0</v>
      </c>
      <c r="W749">
        <v>0</v>
      </c>
      <c r="X749">
        <v>2</v>
      </c>
      <c r="Z749">
        <v>0</v>
      </c>
      <c r="AA749">
        <v>9</v>
      </c>
      <c r="AB749">
        <v>3</v>
      </c>
      <c r="AC749">
        <v>0</v>
      </c>
      <c r="AD749">
        <v>10</v>
      </c>
      <c r="AE749">
        <v>0</v>
      </c>
      <c r="AF749">
        <v>3</v>
      </c>
      <c r="AG749">
        <v>2</v>
      </c>
      <c r="AH749">
        <v>0</v>
      </c>
      <c r="AI749" t="s">
        <v>850</v>
      </c>
      <c r="AJ749">
        <v>45.809232999999999</v>
      </c>
      <c r="AK749" t="s">
        <v>851</v>
      </c>
      <c r="AL749">
        <v>-89.241213999999999</v>
      </c>
      <c r="AM749">
        <v>100</v>
      </c>
      <c r="AN749">
        <v>13100</v>
      </c>
      <c r="AO749" t="s">
        <v>118</v>
      </c>
      <c r="AP749">
        <v>151</v>
      </c>
      <c r="AQ749">
        <v>114</v>
      </c>
      <c r="AR749">
        <v>1408</v>
      </c>
      <c r="AZ749">
        <v>1200</v>
      </c>
      <c r="BA749">
        <v>1</v>
      </c>
      <c r="BB749" t="str">
        <f t="shared" si="39"/>
        <v xml:space="preserve">N690LS  </v>
      </c>
      <c r="BC749">
        <v>1</v>
      </c>
      <c r="BE749">
        <v>0</v>
      </c>
      <c r="BF749">
        <v>0</v>
      </c>
      <c r="BG749">
        <v>0</v>
      </c>
      <c r="BH749">
        <v>13525</v>
      </c>
      <c r="BI749">
        <v>1</v>
      </c>
      <c r="BJ749">
        <v>1</v>
      </c>
      <c r="BK749">
        <v>1</v>
      </c>
      <c r="BL749">
        <v>0</v>
      </c>
      <c r="BO749">
        <v>0</v>
      </c>
      <c r="BP749">
        <v>0</v>
      </c>
      <c r="BW749" t="str">
        <f>"13:56:43.368"</f>
        <v>13:56:43.368</v>
      </c>
      <c r="CJ749">
        <v>0</v>
      </c>
      <c r="CK749">
        <v>2</v>
      </c>
      <c r="CL749">
        <v>0</v>
      </c>
      <c r="CM749">
        <v>2</v>
      </c>
      <c r="CN749">
        <v>0</v>
      </c>
      <c r="CO749">
        <v>6</v>
      </c>
      <c r="CP749" t="s">
        <v>119</v>
      </c>
      <c r="CQ749">
        <v>209</v>
      </c>
      <c r="CR749">
        <v>3</v>
      </c>
      <c r="CW749">
        <v>7225431</v>
      </c>
      <c r="CY749">
        <v>1</v>
      </c>
      <c r="CZ749">
        <v>0</v>
      </c>
      <c r="DA749">
        <v>0</v>
      </c>
      <c r="DB749">
        <v>0</v>
      </c>
      <c r="DC749">
        <v>0</v>
      </c>
      <c r="DD749">
        <v>1</v>
      </c>
      <c r="DE749">
        <v>0</v>
      </c>
      <c r="DF749">
        <v>0</v>
      </c>
      <c r="DG749">
        <v>0</v>
      </c>
      <c r="DH749">
        <v>0</v>
      </c>
      <c r="DI749">
        <v>0</v>
      </c>
    </row>
    <row r="750" spans="1:113" x14ac:dyDescent="0.3">
      <c r="A750" t="str">
        <f>"09/28/2021 13:56:43.604"</f>
        <v>09/28/2021 13:56:43.604</v>
      </c>
      <c r="C750" t="str">
        <f t="shared" si="38"/>
        <v>FFDFD3C0</v>
      </c>
      <c r="D750" t="s">
        <v>113</v>
      </c>
      <c r="E750">
        <v>7</v>
      </c>
      <c r="H750">
        <v>170</v>
      </c>
      <c r="I750" t="s">
        <v>114</v>
      </c>
      <c r="J750" t="s">
        <v>115</v>
      </c>
      <c r="K750">
        <v>0</v>
      </c>
      <c r="L750">
        <v>3</v>
      </c>
      <c r="M750">
        <v>0</v>
      </c>
      <c r="N750">
        <v>2</v>
      </c>
      <c r="O750">
        <v>1</v>
      </c>
      <c r="P750">
        <v>0</v>
      </c>
      <c r="Q750">
        <v>0</v>
      </c>
      <c r="S750" t="str">
        <f>"13:56:43.367"</f>
        <v>13:56:43.367</v>
      </c>
      <c r="T750" t="str">
        <f>"13:56:42.967"</f>
        <v>13:56:42.967</v>
      </c>
      <c r="U750" t="str">
        <f t="shared" si="37"/>
        <v>A92BC1</v>
      </c>
      <c r="V750">
        <v>0</v>
      </c>
      <c r="W750">
        <v>0</v>
      </c>
      <c r="X750">
        <v>2</v>
      </c>
      <c r="Z750">
        <v>0</v>
      </c>
      <c r="AA750">
        <v>9</v>
      </c>
      <c r="AB750">
        <v>3</v>
      </c>
      <c r="AC750">
        <v>0</v>
      </c>
      <c r="AD750">
        <v>10</v>
      </c>
      <c r="AE750">
        <v>0</v>
      </c>
      <c r="AF750">
        <v>3</v>
      </c>
      <c r="AG750">
        <v>2</v>
      </c>
      <c r="AH750">
        <v>0</v>
      </c>
      <c r="AI750" t="s">
        <v>850</v>
      </c>
      <c r="AJ750">
        <v>45.809232999999999</v>
      </c>
      <c r="AK750" t="s">
        <v>851</v>
      </c>
      <c r="AL750">
        <v>-89.241213999999999</v>
      </c>
      <c r="AM750">
        <v>100</v>
      </c>
      <c r="AN750">
        <v>13100</v>
      </c>
      <c r="AO750" t="s">
        <v>118</v>
      </c>
      <c r="AP750">
        <v>151</v>
      </c>
      <c r="AQ750">
        <v>114</v>
      </c>
      <c r="AR750">
        <v>1408</v>
      </c>
      <c r="AZ750">
        <v>1200</v>
      </c>
      <c r="BA750">
        <v>1</v>
      </c>
      <c r="BB750" t="str">
        <f t="shared" si="39"/>
        <v xml:space="preserve">N690LS  </v>
      </c>
      <c r="BC750">
        <v>1</v>
      </c>
      <c r="BE750">
        <v>0</v>
      </c>
      <c r="BF750">
        <v>0</v>
      </c>
      <c r="BG750">
        <v>0</v>
      </c>
      <c r="BH750">
        <v>13525</v>
      </c>
      <c r="BI750">
        <v>1</v>
      </c>
      <c r="BJ750">
        <v>1</v>
      </c>
      <c r="BK750">
        <v>1</v>
      </c>
      <c r="BL750">
        <v>0</v>
      </c>
      <c r="BO750">
        <v>0</v>
      </c>
      <c r="BP750">
        <v>0</v>
      </c>
      <c r="BW750" t="str">
        <f>"13:56:43.368"</f>
        <v>13:56:43.368</v>
      </c>
      <c r="CJ750">
        <v>0</v>
      </c>
      <c r="CK750">
        <v>2</v>
      </c>
      <c r="CL750">
        <v>0</v>
      </c>
      <c r="CM750">
        <v>2</v>
      </c>
      <c r="CN750">
        <v>0</v>
      </c>
      <c r="CO750">
        <v>6</v>
      </c>
      <c r="CP750" t="s">
        <v>119</v>
      </c>
      <c r="CQ750">
        <v>209</v>
      </c>
      <c r="CR750">
        <v>3</v>
      </c>
      <c r="CW750">
        <v>7225431</v>
      </c>
      <c r="CY750">
        <v>1</v>
      </c>
      <c r="CZ750">
        <v>0</v>
      </c>
      <c r="DA750">
        <v>1</v>
      </c>
      <c r="DB750">
        <v>0</v>
      </c>
      <c r="DC750">
        <v>0</v>
      </c>
      <c r="DD750">
        <v>1</v>
      </c>
      <c r="DE750">
        <v>0</v>
      </c>
      <c r="DF750">
        <v>0</v>
      </c>
      <c r="DG750">
        <v>0</v>
      </c>
      <c r="DH750">
        <v>0</v>
      </c>
      <c r="DI750">
        <v>0</v>
      </c>
    </row>
    <row r="751" spans="1:113" x14ac:dyDescent="0.3">
      <c r="A751" t="str">
        <f>"09/28/2021 13:56:44.543"</f>
        <v>09/28/2021 13:56:44.543</v>
      </c>
      <c r="C751" t="str">
        <f t="shared" si="38"/>
        <v>FFDFD3C0</v>
      </c>
      <c r="D751" t="s">
        <v>120</v>
      </c>
      <c r="E751">
        <v>12</v>
      </c>
      <c r="F751">
        <v>1012</v>
      </c>
      <c r="G751" t="s">
        <v>114</v>
      </c>
      <c r="J751" t="s">
        <v>121</v>
      </c>
      <c r="K751">
        <v>0</v>
      </c>
      <c r="L751">
        <v>3</v>
      </c>
      <c r="M751">
        <v>0</v>
      </c>
      <c r="N751">
        <v>2</v>
      </c>
      <c r="O751">
        <v>1</v>
      </c>
      <c r="P751">
        <v>0</v>
      </c>
      <c r="Q751">
        <v>0</v>
      </c>
      <c r="S751" t="str">
        <f>"13:56:44.344"</f>
        <v>13:56:44.344</v>
      </c>
      <c r="T751" t="str">
        <f>"13:56:43.844"</f>
        <v>13:56:43.844</v>
      </c>
      <c r="U751" t="str">
        <f t="shared" si="37"/>
        <v>A92BC1</v>
      </c>
      <c r="V751">
        <v>0</v>
      </c>
      <c r="W751">
        <v>0</v>
      </c>
      <c r="X751">
        <v>2</v>
      </c>
      <c r="Z751">
        <v>0</v>
      </c>
      <c r="AA751">
        <v>9</v>
      </c>
      <c r="AB751">
        <v>3</v>
      </c>
      <c r="AC751">
        <v>0</v>
      </c>
      <c r="AD751">
        <v>10</v>
      </c>
      <c r="AE751">
        <v>0</v>
      </c>
      <c r="AF751">
        <v>3</v>
      </c>
      <c r="AG751">
        <v>2</v>
      </c>
      <c r="AH751">
        <v>0</v>
      </c>
      <c r="AI751" t="s">
        <v>852</v>
      </c>
      <c r="AJ751">
        <v>45.809790999999997</v>
      </c>
      <c r="AK751" t="s">
        <v>853</v>
      </c>
      <c r="AL751">
        <v>-89.240205000000003</v>
      </c>
      <c r="AM751">
        <v>100</v>
      </c>
      <c r="AN751">
        <v>13100</v>
      </c>
      <c r="AO751" t="s">
        <v>118</v>
      </c>
      <c r="AP751">
        <v>151</v>
      </c>
      <c r="AQ751">
        <v>114</v>
      </c>
      <c r="AR751">
        <v>1408</v>
      </c>
      <c r="AZ751">
        <v>1200</v>
      </c>
      <c r="BA751">
        <v>1</v>
      </c>
      <c r="BB751" t="str">
        <f t="shared" si="39"/>
        <v xml:space="preserve">N690LS  </v>
      </c>
      <c r="BC751">
        <v>1</v>
      </c>
      <c r="BE751">
        <v>0</v>
      </c>
      <c r="BF751">
        <v>0</v>
      </c>
      <c r="BG751">
        <v>0</v>
      </c>
      <c r="BH751">
        <v>13525</v>
      </c>
      <c r="BI751">
        <v>1</v>
      </c>
      <c r="BJ751">
        <v>1</v>
      </c>
      <c r="BK751">
        <v>1</v>
      </c>
      <c r="BL751">
        <v>0</v>
      </c>
      <c r="BO751">
        <v>0</v>
      </c>
      <c r="BP751">
        <v>0</v>
      </c>
      <c r="BW751" t="str">
        <f>"13:56:44.344"</f>
        <v>13:56:44.344</v>
      </c>
      <c r="CJ751">
        <v>0</v>
      </c>
      <c r="CK751">
        <v>2</v>
      </c>
      <c r="CL751">
        <v>0</v>
      </c>
      <c r="CM751">
        <v>2</v>
      </c>
      <c r="CN751">
        <v>0</v>
      </c>
      <c r="CO751">
        <v>6</v>
      </c>
      <c r="CP751" t="s">
        <v>119</v>
      </c>
      <c r="CQ751">
        <v>209</v>
      </c>
      <c r="CR751">
        <v>3</v>
      </c>
      <c r="CW751">
        <v>7225746</v>
      </c>
      <c r="CY751">
        <v>1</v>
      </c>
      <c r="CZ751">
        <v>0</v>
      </c>
      <c r="DA751">
        <v>0</v>
      </c>
      <c r="DB751">
        <v>0</v>
      </c>
      <c r="DC751">
        <v>0</v>
      </c>
      <c r="DD751">
        <v>1</v>
      </c>
      <c r="DE751">
        <v>0</v>
      </c>
      <c r="DF751">
        <v>0</v>
      </c>
      <c r="DG751">
        <v>0</v>
      </c>
      <c r="DH751">
        <v>0</v>
      </c>
      <c r="DI751">
        <v>0</v>
      </c>
    </row>
    <row r="752" spans="1:113" x14ac:dyDescent="0.3">
      <c r="A752" t="str">
        <f>"09/28/2021 13:56:44.558"</f>
        <v>09/28/2021 13:56:44.558</v>
      </c>
      <c r="C752" t="str">
        <f t="shared" si="38"/>
        <v>FFDFD3C0</v>
      </c>
      <c r="D752" t="s">
        <v>113</v>
      </c>
      <c r="E752">
        <v>7</v>
      </c>
      <c r="H752">
        <v>170</v>
      </c>
      <c r="I752" t="s">
        <v>114</v>
      </c>
      <c r="J752" t="s">
        <v>115</v>
      </c>
      <c r="K752">
        <v>0</v>
      </c>
      <c r="L752">
        <v>3</v>
      </c>
      <c r="M752">
        <v>0</v>
      </c>
      <c r="N752">
        <v>2</v>
      </c>
      <c r="O752">
        <v>1</v>
      </c>
      <c r="P752">
        <v>0</v>
      </c>
      <c r="Q752">
        <v>0</v>
      </c>
      <c r="S752" t="str">
        <f>"13:56:44.344"</f>
        <v>13:56:44.344</v>
      </c>
      <c r="T752" t="str">
        <f>"13:56:43.844"</f>
        <v>13:56:43.844</v>
      </c>
      <c r="U752" t="str">
        <f t="shared" si="37"/>
        <v>A92BC1</v>
      </c>
      <c r="V752">
        <v>0</v>
      </c>
      <c r="W752">
        <v>0</v>
      </c>
      <c r="X752">
        <v>2</v>
      </c>
      <c r="Z752">
        <v>0</v>
      </c>
      <c r="AA752">
        <v>9</v>
      </c>
      <c r="AB752">
        <v>3</v>
      </c>
      <c r="AC752">
        <v>0</v>
      </c>
      <c r="AD752">
        <v>10</v>
      </c>
      <c r="AE752">
        <v>0</v>
      </c>
      <c r="AF752">
        <v>3</v>
      </c>
      <c r="AG752">
        <v>2</v>
      </c>
      <c r="AH752">
        <v>0</v>
      </c>
      <c r="AI752" t="s">
        <v>852</v>
      </c>
      <c r="AJ752">
        <v>45.809790999999997</v>
      </c>
      <c r="AK752" t="s">
        <v>853</v>
      </c>
      <c r="AL752">
        <v>-89.240205000000003</v>
      </c>
      <c r="AM752">
        <v>100</v>
      </c>
      <c r="AN752">
        <v>13100</v>
      </c>
      <c r="AO752" t="s">
        <v>118</v>
      </c>
      <c r="AP752">
        <v>151</v>
      </c>
      <c r="AQ752">
        <v>114</v>
      </c>
      <c r="AR752">
        <v>1408</v>
      </c>
      <c r="AZ752">
        <v>1200</v>
      </c>
      <c r="BA752">
        <v>1</v>
      </c>
      <c r="BB752" t="str">
        <f t="shared" si="39"/>
        <v xml:space="preserve">N690LS  </v>
      </c>
      <c r="BC752">
        <v>1</v>
      </c>
      <c r="BE752">
        <v>0</v>
      </c>
      <c r="BF752">
        <v>0</v>
      </c>
      <c r="BG752">
        <v>0</v>
      </c>
      <c r="BH752">
        <v>13525</v>
      </c>
      <c r="BI752">
        <v>1</v>
      </c>
      <c r="BJ752">
        <v>1</v>
      </c>
      <c r="BK752">
        <v>1</v>
      </c>
      <c r="BL752">
        <v>0</v>
      </c>
      <c r="BO752">
        <v>0</v>
      </c>
      <c r="BP752">
        <v>0</v>
      </c>
      <c r="BW752" t="str">
        <f>"13:56:44.344"</f>
        <v>13:56:44.344</v>
      </c>
      <c r="CJ752">
        <v>0</v>
      </c>
      <c r="CK752">
        <v>2</v>
      </c>
      <c r="CL752">
        <v>0</v>
      </c>
      <c r="CM752">
        <v>2</v>
      </c>
      <c r="CN752">
        <v>0</v>
      </c>
      <c r="CO752">
        <v>6</v>
      </c>
      <c r="CP752" t="s">
        <v>119</v>
      </c>
      <c r="CQ752">
        <v>209</v>
      </c>
      <c r="CR752">
        <v>3</v>
      </c>
      <c r="CW752">
        <v>7225746</v>
      </c>
      <c r="CY752">
        <v>1</v>
      </c>
      <c r="CZ752">
        <v>0</v>
      </c>
      <c r="DA752">
        <v>1</v>
      </c>
      <c r="DB752">
        <v>0</v>
      </c>
      <c r="DC752">
        <v>0</v>
      </c>
      <c r="DD752">
        <v>1</v>
      </c>
      <c r="DE752">
        <v>0</v>
      </c>
      <c r="DF752">
        <v>0</v>
      </c>
      <c r="DG752">
        <v>0</v>
      </c>
      <c r="DH752">
        <v>0</v>
      </c>
      <c r="DI752">
        <v>0</v>
      </c>
    </row>
    <row r="753" spans="1:113" x14ac:dyDescent="0.3">
      <c r="A753" t="str">
        <f>"09/28/2021 13:56:45.590"</f>
        <v>09/28/2021 13:56:45.590</v>
      </c>
      <c r="C753" t="str">
        <f t="shared" si="38"/>
        <v>FFDFD3C0</v>
      </c>
      <c r="D753" t="s">
        <v>120</v>
      </c>
      <c r="E753">
        <v>12</v>
      </c>
      <c r="F753">
        <v>1012</v>
      </c>
      <c r="G753" t="s">
        <v>114</v>
      </c>
      <c r="J753" t="s">
        <v>121</v>
      </c>
      <c r="K753">
        <v>0</v>
      </c>
      <c r="L753">
        <v>3</v>
      </c>
      <c r="M753">
        <v>0</v>
      </c>
      <c r="N753">
        <v>2</v>
      </c>
      <c r="O753">
        <v>1</v>
      </c>
      <c r="P753">
        <v>0</v>
      </c>
      <c r="Q753">
        <v>0</v>
      </c>
      <c r="S753" t="str">
        <f>"13:56:45.383"</f>
        <v>13:56:45.383</v>
      </c>
      <c r="T753" t="str">
        <f>"13:56:44.883"</f>
        <v>13:56:44.883</v>
      </c>
      <c r="U753" t="str">
        <f t="shared" si="37"/>
        <v>A92BC1</v>
      </c>
      <c r="V753">
        <v>0</v>
      </c>
      <c r="W753">
        <v>0</v>
      </c>
      <c r="X753">
        <v>2</v>
      </c>
      <c r="Z753">
        <v>0</v>
      </c>
      <c r="AA753">
        <v>9</v>
      </c>
      <c r="AB753">
        <v>3</v>
      </c>
      <c r="AC753">
        <v>0</v>
      </c>
      <c r="AD753">
        <v>10</v>
      </c>
      <c r="AE753">
        <v>0</v>
      </c>
      <c r="AF753">
        <v>3</v>
      </c>
      <c r="AG753">
        <v>2</v>
      </c>
      <c r="AH753">
        <v>0</v>
      </c>
      <c r="AI753" t="s">
        <v>854</v>
      </c>
      <c r="AJ753">
        <v>45.810285</v>
      </c>
      <c r="AK753" t="s">
        <v>855</v>
      </c>
      <c r="AL753">
        <v>-89.239197000000004</v>
      </c>
      <c r="AM753">
        <v>100</v>
      </c>
      <c r="AN753">
        <v>13200</v>
      </c>
      <c r="AO753" t="s">
        <v>118</v>
      </c>
      <c r="AP753">
        <v>151</v>
      </c>
      <c r="AQ753">
        <v>115</v>
      </c>
      <c r="AR753">
        <v>1472</v>
      </c>
      <c r="AZ753">
        <v>1200</v>
      </c>
      <c r="BA753">
        <v>1</v>
      </c>
      <c r="BB753" t="str">
        <f t="shared" si="39"/>
        <v xml:space="preserve">N690LS  </v>
      </c>
      <c r="BC753">
        <v>1</v>
      </c>
      <c r="BE753">
        <v>0</v>
      </c>
      <c r="BF753">
        <v>0</v>
      </c>
      <c r="BG753">
        <v>0</v>
      </c>
      <c r="BH753">
        <v>13550</v>
      </c>
      <c r="BI753">
        <v>1</v>
      </c>
      <c r="BJ753">
        <v>1</v>
      </c>
      <c r="BK753">
        <v>1</v>
      </c>
      <c r="BL753">
        <v>0</v>
      </c>
      <c r="BO753">
        <v>0</v>
      </c>
      <c r="BP753">
        <v>0</v>
      </c>
      <c r="BW753" t="str">
        <f>"13:56:45.390"</f>
        <v>13:56:45.390</v>
      </c>
      <c r="CJ753">
        <v>0</v>
      </c>
      <c r="CK753">
        <v>2</v>
      </c>
      <c r="CL753">
        <v>0</v>
      </c>
      <c r="CM753">
        <v>2</v>
      </c>
      <c r="CN753">
        <v>0</v>
      </c>
      <c r="CO753">
        <v>6</v>
      </c>
      <c r="CP753" t="s">
        <v>119</v>
      </c>
      <c r="CQ753">
        <v>209</v>
      </c>
      <c r="CR753">
        <v>3</v>
      </c>
      <c r="CW753">
        <v>7226110</v>
      </c>
      <c r="CY753">
        <v>1</v>
      </c>
      <c r="CZ753">
        <v>0</v>
      </c>
      <c r="DA753">
        <v>0</v>
      </c>
      <c r="DB753">
        <v>0</v>
      </c>
      <c r="DC753">
        <v>0</v>
      </c>
      <c r="DD753">
        <v>1</v>
      </c>
      <c r="DE753">
        <v>0</v>
      </c>
      <c r="DF753">
        <v>0</v>
      </c>
      <c r="DG753">
        <v>0</v>
      </c>
      <c r="DH753">
        <v>0</v>
      </c>
      <c r="DI753">
        <v>0</v>
      </c>
    </row>
    <row r="754" spans="1:113" x14ac:dyDescent="0.3">
      <c r="A754" t="str">
        <f>"09/28/2021 13:56:45.590"</f>
        <v>09/28/2021 13:56:45.590</v>
      </c>
      <c r="C754" t="str">
        <f t="shared" si="38"/>
        <v>FFDFD3C0</v>
      </c>
      <c r="D754" t="s">
        <v>113</v>
      </c>
      <c r="E754">
        <v>7</v>
      </c>
      <c r="H754">
        <v>170</v>
      </c>
      <c r="I754" t="s">
        <v>114</v>
      </c>
      <c r="J754" t="s">
        <v>115</v>
      </c>
      <c r="K754">
        <v>0</v>
      </c>
      <c r="L754">
        <v>3</v>
      </c>
      <c r="M754">
        <v>0</v>
      </c>
      <c r="N754">
        <v>2</v>
      </c>
      <c r="O754">
        <v>1</v>
      </c>
      <c r="P754">
        <v>0</v>
      </c>
      <c r="Q754">
        <v>0</v>
      </c>
      <c r="S754" t="str">
        <f>"13:56:45.383"</f>
        <v>13:56:45.383</v>
      </c>
      <c r="T754" t="str">
        <f>"13:56:44.883"</f>
        <v>13:56:44.883</v>
      </c>
      <c r="U754" t="str">
        <f t="shared" si="37"/>
        <v>A92BC1</v>
      </c>
      <c r="V754">
        <v>0</v>
      </c>
      <c r="W754">
        <v>0</v>
      </c>
      <c r="X754">
        <v>2</v>
      </c>
      <c r="Z754">
        <v>0</v>
      </c>
      <c r="AA754">
        <v>9</v>
      </c>
      <c r="AB754">
        <v>3</v>
      </c>
      <c r="AC754">
        <v>0</v>
      </c>
      <c r="AD754">
        <v>10</v>
      </c>
      <c r="AE754">
        <v>0</v>
      </c>
      <c r="AF754">
        <v>3</v>
      </c>
      <c r="AG754">
        <v>2</v>
      </c>
      <c r="AH754">
        <v>0</v>
      </c>
      <c r="AI754" t="s">
        <v>854</v>
      </c>
      <c r="AJ754">
        <v>45.810285</v>
      </c>
      <c r="AK754" t="s">
        <v>855</v>
      </c>
      <c r="AL754">
        <v>-89.239197000000004</v>
      </c>
      <c r="AM754">
        <v>100</v>
      </c>
      <c r="AN754">
        <v>13200</v>
      </c>
      <c r="AO754" t="s">
        <v>118</v>
      </c>
      <c r="AP754">
        <v>151</v>
      </c>
      <c r="AQ754">
        <v>115</v>
      </c>
      <c r="AR754">
        <v>1472</v>
      </c>
      <c r="AZ754">
        <v>1200</v>
      </c>
      <c r="BA754">
        <v>1</v>
      </c>
      <c r="BB754" t="str">
        <f t="shared" si="39"/>
        <v xml:space="preserve">N690LS  </v>
      </c>
      <c r="BC754">
        <v>1</v>
      </c>
      <c r="BE754">
        <v>0</v>
      </c>
      <c r="BF754">
        <v>0</v>
      </c>
      <c r="BG754">
        <v>0</v>
      </c>
      <c r="BH754">
        <v>13550</v>
      </c>
      <c r="BI754">
        <v>1</v>
      </c>
      <c r="BJ754">
        <v>1</v>
      </c>
      <c r="BK754">
        <v>1</v>
      </c>
      <c r="BL754">
        <v>0</v>
      </c>
      <c r="BO754">
        <v>0</v>
      </c>
      <c r="BP754">
        <v>0</v>
      </c>
      <c r="BW754" t="str">
        <f>"13:56:45.390"</f>
        <v>13:56:45.390</v>
      </c>
      <c r="CJ754">
        <v>0</v>
      </c>
      <c r="CK754">
        <v>2</v>
      </c>
      <c r="CL754">
        <v>0</v>
      </c>
      <c r="CM754">
        <v>2</v>
      </c>
      <c r="CN754">
        <v>0</v>
      </c>
      <c r="CO754">
        <v>6</v>
      </c>
      <c r="CP754" t="s">
        <v>119</v>
      </c>
      <c r="CQ754">
        <v>209</v>
      </c>
      <c r="CR754">
        <v>3</v>
      </c>
      <c r="CW754">
        <v>7226110</v>
      </c>
      <c r="CY754">
        <v>1</v>
      </c>
      <c r="CZ754">
        <v>0</v>
      </c>
      <c r="DA754">
        <v>1</v>
      </c>
      <c r="DB754">
        <v>0</v>
      </c>
      <c r="DC754">
        <v>0</v>
      </c>
      <c r="DD754">
        <v>1</v>
      </c>
      <c r="DE754">
        <v>0</v>
      </c>
      <c r="DF754">
        <v>0</v>
      </c>
      <c r="DG754">
        <v>0</v>
      </c>
      <c r="DH754">
        <v>0</v>
      </c>
      <c r="DI754">
        <v>0</v>
      </c>
    </row>
    <row r="755" spans="1:113" x14ac:dyDescent="0.3">
      <c r="A755" t="str">
        <f>"09/28/2021 13:56:46.572"</f>
        <v>09/28/2021 13:56:46.572</v>
      </c>
      <c r="C755" t="str">
        <f t="shared" si="38"/>
        <v>FFDFD3C0</v>
      </c>
      <c r="D755" t="s">
        <v>120</v>
      </c>
      <c r="E755">
        <v>12</v>
      </c>
      <c r="F755">
        <v>1012</v>
      </c>
      <c r="G755" t="s">
        <v>114</v>
      </c>
      <c r="J755" t="s">
        <v>121</v>
      </c>
      <c r="K755">
        <v>0</v>
      </c>
      <c r="L755">
        <v>3</v>
      </c>
      <c r="M755">
        <v>0</v>
      </c>
      <c r="N755">
        <v>2</v>
      </c>
      <c r="O755">
        <v>1</v>
      </c>
      <c r="P755">
        <v>0</v>
      </c>
      <c r="Q755">
        <v>0</v>
      </c>
      <c r="S755" t="str">
        <f>"13:56:46.359"</f>
        <v>13:56:46.359</v>
      </c>
      <c r="T755" t="str">
        <f>"13:56:45.959"</f>
        <v>13:56:45.959</v>
      </c>
      <c r="U755" t="str">
        <f t="shared" si="37"/>
        <v>A92BC1</v>
      </c>
      <c r="V755">
        <v>0</v>
      </c>
      <c r="W755">
        <v>0</v>
      </c>
      <c r="X755">
        <v>2</v>
      </c>
      <c r="Z755">
        <v>0</v>
      </c>
      <c r="AA755">
        <v>9</v>
      </c>
      <c r="AB755">
        <v>3</v>
      </c>
      <c r="AC755">
        <v>0</v>
      </c>
      <c r="AD755">
        <v>10</v>
      </c>
      <c r="AE755">
        <v>0</v>
      </c>
      <c r="AF755">
        <v>3</v>
      </c>
      <c r="AG755">
        <v>2</v>
      </c>
      <c r="AH755">
        <v>0</v>
      </c>
      <c r="AI755" t="s">
        <v>856</v>
      </c>
      <c r="AJ755">
        <v>45.810842999999998</v>
      </c>
      <c r="AK755" t="s">
        <v>857</v>
      </c>
      <c r="AL755">
        <v>-89.238187999999994</v>
      </c>
      <c r="AM755">
        <v>100</v>
      </c>
      <c r="AN755">
        <v>13200</v>
      </c>
      <c r="AO755" t="s">
        <v>118</v>
      </c>
      <c r="AP755">
        <v>151</v>
      </c>
      <c r="AQ755">
        <v>115</v>
      </c>
      <c r="AR755">
        <v>1472</v>
      </c>
      <c r="AZ755">
        <v>1200</v>
      </c>
      <c r="BA755">
        <v>1</v>
      </c>
      <c r="BB755" t="str">
        <f t="shared" si="39"/>
        <v xml:space="preserve">N690LS  </v>
      </c>
      <c r="BC755">
        <v>1</v>
      </c>
      <c r="BE755">
        <v>0</v>
      </c>
      <c r="BF755">
        <v>0</v>
      </c>
      <c r="BG755">
        <v>0</v>
      </c>
      <c r="BH755">
        <v>13600</v>
      </c>
      <c r="BI755">
        <v>1</v>
      </c>
      <c r="BJ755">
        <v>1</v>
      </c>
      <c r="BK755">
        <v>1</v>
      </c>
      <c r="BL755">
        <v>0</v>
      </c>
      <c r="BO755">
        <v>0</v>
      </c>
      <c r="BP755">
        <v>0</v>
      </c>
      <c r="BW755" t="str">
        <f>"13:56:46.366"</f>
        <v>13:56:46.366</v>
      </c>
      <c r="CJ755">
        <v>0</v>
      </c>
      <c r="CK755">
        <v>2</v>
      </c>
      <c r="CL755">
        <v>0</v>
      </c>
      <c r="CM755">
        <v>2</v>
      </c>
      <c r="CN755">
        <v>0</v>
      </c>
      <c r="CO755">
        <v>6</v>
      </c>
      <c r="CP755" t="s">
        <v>119</v>
      </c>
      <c r="CQ755">
        <v>209</v>
      </c>
      <c r="CR755">
        <v>3</v>
      </c>
      <c r="CW755">
        <v>7226436</v>
      </c>
      <c r="CY755">
        <v>1</v>
      </c>
      <c r="CZ755">
        <v>0</v>
      </c>
      <c r="DA755">
        <v>0</v>
      </c>
      <c r="DB755">
        <v>0</v>
      </c>
      <c r="DC755">
        <v>0</v>
      </c>
      <c r="DD755">
        <v>1</v>
      </c>
      <c r="DE755">
        <v>0</v>
      </c>
      <c r="DF755">
        <v>0</v>
      </c>
      <c r="DG755">
        <v>0</v>
      </c>
      <c r="DH755">
        <v>0</v>
      </c>
      <c r="DI755">
        <v>0</v>
      </c>
    </row>
    <row r="756" spans="1:113" x14ac:dyDescent="0.3">
      <c r="A756" t="str">
        <f>"09/28/2021 13:56:46.572"</f>
        <v>09/28/2021 13:56:46.572</v>
      </c>
      <c r="C756" t="str">
        <f t="shared" si="38"/>
        <v>FFDFD3C0</v>
      </c>
      <c r="D756" t="s">
        <v>113</v>
      </c>
      <c r="E756">
        <v>7</v>
      </c>
      <c r="H756">
        <v>170</v>
      </c>
      <c r="I756" t="s">
        <v>114</v>
      </c>
      <c r="J756" t="s">
        <v>115</v>
      </c>
      <c r="K756">
        <v>0</v>
      </c>
      <c r="L756">
        <v>3</v>
      </c>
      <c r="M756">
        <v>0</v>
      </c>
      <c r="N756">
        <v>2</v>
      </c>
      <c r="O756">
        <v>1</v>
      </c>
      <c r="P756">
        <v>0</v>
      </c>
      <c r="Q756">
        <v>0</v>
      </c>
      <c r="S756" t="str">
        <f>"13:56:46.359"</f>
        <v>13:56:46.359</v>
      </c>
      <c r="T756" t="str">
        <f>"13:56:45.959"</f>
        <v>13:56:45.959</v>
      </c>
      <c r="U756" t="str">
        <f t="shared" si="37"/>
        <v>A92BC1</v>
      </c>
      <c r="V756">
        <v>0</v>
      </c>
      <c r="W756">
        <v>0</v>
      </c>
      <c r="X756">
        <v>2</v>
      </c>
      <c r="Z756">
        <v>0</v>
      </c>
      <c r="AA756">
        <v>9</v>
      </c>
      <c r="AB756">
        <v>3</v>
      </c>
      <c r="AC756">
        <v>0</v>
      </c>
      <c r="AD756">
        <v>10</v>
      </c>
      <c r="AE756">
        <v>0</v>
      </c>
      <c r="AF756">
        <v>3</v>
      </c>
      <c r="AG756">
        <v>2</v>
      </c>
      <c r="AH756">
        <v>0</v>
      </c>
      <c r="AI756" t="s">
        <v>856</v>
      </c>
      <c r="AJ756">
        <v>45.810842999999998</v>
      </c>
      <c r="AK756" t="s">
        <v>857</v>
      </c>
      <c r="AL756">
        <v>-89.238187999999994</v>
      </c>
      <c r="AM756">
        <v>100</v>
      </c>
      <c r="AN756">
        <v>13200</v>
      </c>
      <c r="AO756" t="s">
        <v>118</v>
      </c>
      <c r="AP756">
        <v>151</v>
      </c>
      <c r="AQ756">
        <v>115</v>
      </c>
      <c r="AR756">
        <v>1472</v>
      </c>
      <c r="AZ756">
        <v>1200</v>
      </c>
      <c r="BA756">
        <v>1</v>
      </c>
      <c r="BB756" t="str">
        <f t="shared" si="39"/>
        <v xml:space="preserve">N690LS  </v>
      </c>
      <c r="BC756">
        <v>1</v>
      </c>
      <c r="BE756">
        <v>0</v>
      </c>
      <c r="BF756">
        <v>0</v>
      </c>
      <c r="BG756">
        <v>0</v>
      </c>
      <c r="BH756">
        <v>13600</v>
      </c>
      <c r="BI756">
        <v>1</v>
      </c>
      <c r="BJ756">
        <v>1</v>
      </c>
      <c r="BK756">
        <v>1</v>
      </c>
      <c r="BL756">
        <v>0</v>
      </c>
      <c r="BO756">
        <v>0</v>
      </c>
      <c r="BP756">
        <v>0</v>
      </c>
      <c r="BW756" t="str">
        <f>"13:56:46.366"</f>
        <v>13:56:46.366</v>
      </c>
      <c r="CJ756">
        <v>0</v>
      </c>
      <c r="CK756">
        <v>2</v>
      </c>
      <c r="CL756">
        <v>0</v>
      </c>
      <c r="CM756">
        <v>2</v>
      </c>
      <c r="CN756">
        <v>0</v>
      </c>
      <c r="CO756">
        <v>6</v>
      </c>
      <c r="CP756" t="s">
        <v>119</v>
      </c>
      <c r="CQ756">
        <v>209</v>
      </c>
      <c r="CR756">
        <v>3</v>
      </c>
      <c r="CW756">
        <v>7226436</v>
      </c>
      <c r="CY756">
        <v>1</v>
      </c>
      <c r="CZ756">
        <v>0</v>
      </c>
      <c r="DA756">
        <v>1</v>
      </c>
      <c r="DB756">
        <v>0</v>
      </c>
      <c r="DC756">
        <v>0</v>
      </c>
      <c r="DD756">
        <v>1</v>
      </c>
      <c r="DE756">
        <v>0</v>
      </c>
      <c r="DF756">
        <v>0</v>
      </c>
      <c r="DG756">
        <v>0</v>
      </c>
      <c r="DH756">
        <v>0</v>
      </c>
      <c r="DI756">
        <v>0</v>
      </c>
    </row>
    <row r="757" spans="1:113" x14ac:dyDescent="0.3">
      <c r="A757" t="str">
        <f>"09/28/2021 13:56:47.696"</f>
        <v>09/28/2021 13:56:47.696</v>
      </c>
      <c r="C757" t="str">
        <f t="shared" si="38"/>
        <v>FFDFD3C0</v>
      </c>
      <c r="D757" t="s">
        <v>120</v>
      </c>
      <c r="E757">
        <v>12</v>
      </c>
      <c r="F757">
        <v>1012</v>
      </c>
      <c r="G757" t="s">
        <v>114</v>
      </c>
      <c r="J757" t="s">
        <v>121</v>
      </c>
      <c r="K757">
        <v>0</v>
      </c>
      <c r="L757">
        <v>3</v>
      </c>
      <c r="M757">
        <v>0</v>
      </c>
      <c r="N757">
        <v>2</v>
      </c>
      <c r="O757">
        <v>1</v>
      </c>
      <c r="P757">
        <v>0</v>
      </c>
      <c r="Q757">
        <v>0</v>
      </c>
      <c r="S757" t="str">
        <f>"13:56:47.508"</f>
        <v>13:56:47.508</v>
      </c>
      <c r="T757" t="str">
        <f>"13:56:47.008"</f>
        <v>13:56:47.008</v>
      </c>
      <c r="U757" t="str">
        <f t="shared" si="37"/>
        <v>A92BC1</v>
      </c>
      <c r="V757">
        <v>0</v>
      </c>
      <c r="W757">
        <v>0</v>
      </c>
      <c r="X757">
        <v>2</v>
      </c>
      <c r="Z757">
        <v>0</v>
      </c>
      <c r="AA757">
        <v>9</v>
      </c>
      <c r="AB757">
        <v>3</v>
      </c>
      <c r="AC757">
        <v>0</v>
      </c>
      <c r="AD757">
        <v>10</v>
      </c>
      <c r="AE757">
        <v>0</v>
      </c>
      <c r="AF757">
        <v>3</v>
      </c>
      <c r="AG757">
        <v>2</v>
      </c>
      <c r="AH757">
        <v>0</v>
      </c>
      <c r="AI757" t="s">
        <v>858</v>
      </c>
      <c r="AJ757">
        <v>45.811399999999999</v>
      </c>
      <c r="AK757" t="s">
        <v>859</v>
      </c>
      <c r="AL757">
        <v>-89.237137000000004</v>
      </c>
      <c r="AM757">
        <v>100</v>
      </c>
      <c r="AN757">
        <v>13200</v>
      </c>
      <c r="AO757" t="s">
        <v>118</v>
      </c>
      <c r="AP757">
        <v>150</v>
      </c>
      <c r="AQ757">
        <v>115</v>
      </c>
      <c r="AR757">
        <v>1472</v>
      </c>
      <c r="AZ757">
        <v>1200</v>
      </c>
      <c r="BA757">
        <v>1</v>
      </c>
      <c r="BB757" t="str">
        <f t="shared" si="39"/>
        <v xml:space="preserve">N690LS  </v>
      </c>
      <c r="BC757">
        <v>1</v>
      </c>
      <c r="BE757">
        <v>0</v>
      </c>
      <c r="BF757">
        <v>0</v>
      </c>
      <c r="BG757">
        <v>0</v>
      </c>
      <c r="BH757">
        <v>13625</v>
      </c>
      <c r="BI757">
        <v>1</v>
      </c>
      <c r="BJ757">
        <v>1</v>
      </c>
      <c r="BK757">
        <v>1</v>
      </c>
      <c r="BL757">
        <v>0</v>
      </c>
      <c r="BO757">
        <v>0</v>
      </c>
      <c r="BP757">
        <v>0</v>
      </c>
      <c r="BW757" t="str">
        <f>"13:56:47.513"</f>
        <v>13:56:47.513</v>
      </c>
      <c r="CJ757">
        <v>0</v>
      </c>
      <c r="CK757">
        <v>2</v>
      </c>
      <c r="CL757">
        <v>0</v>
      </c>
      <c r="CM757">
        <v>2</v>
      </c>
      <c r="CN757">
        <v>0</v>
      </c>
      <c r="CO757">
        <v>6</v>
      </c>
      <c r="CP757" t="s">
        <v>119</v>
      </c>
      <c r="CQ757">
        <v>209</v>
      </c>
      <c r="CR757">
        <v>3</v>
      </c>
      <c r="CW757">
        <v>7226817</v>
      </c>
      <c r="CY757">
        <v>1</v>
      </c>
      <c r="CZ757">
        <v>0</v>
      </c>
      <c r="DA757">
        <v>0</v>
      </c>
      <c r="DB757">
        <v>0</v>
      </c>
      <c r="DC757">
        <v>0</v>
      </c>
      <c r="DD757">
        <v>1</v>
      </c>
      <c r="DE757">
        <v>0</v>
      </c>
      <c r="DF757">
        <v>0</v>
      </c>
      <c r="DG757">
        <v>0</v>
      </c>
      <c r="DH757">
        <v>0</v>
      </c>
      <c r="DI757">
        <v>0</v>
      </c>
    </row>
    <row r="758" spans="1:113" x14ac:dyDescent="0.3">
      <c r="A758" t="str">
        <f>"09/28/2021 13:56:47.774"</f>
        <v>09/28/2021 13:56:47.774</v>
      </c>
      <c r="C758" t="str">
        <f t="shared" si="38"/>
        <v>FFDFD3C0</v>
      </c>
      <c r="D758" t="s">
        <v>113</v>
      </c>
      <c r="E758">
        <v>7</v>
      </c>
      <c r="H758">
        <v>170</v>
      </c>
      <c r="I758" t="s">
        <v>114</v>
      </c>
      <c r="J758" t="s">
        <v>115</v>
      </c>
      <c r="K758">
        <v>0</v>
      </c>
      <c r="L758">
        <v>3</v>
      </c>
      <c r="M758">
        <v>0</v>
      </c>
      <c r="N758">
        <v>2</v>
      </c>
      <c r="O758">
        <v>1</v>
      </c>
      <c r="P758">
        <v>0</v>
      </c>
      <c r="Q758">
        <v>0</v>
      </c>
      <c r="S758" t="str">
        <f>"13:56:47.508"</f>
        <v>13:56:47.508</v>
      </c>
      <c r="T758" t="str">
        <f>"13:56:47.008"</f>
        <v>13:56:47.008</v>
      </c>
      <c r="U758" t="str">
        <f t="shared" si="37"/>
        <v>A92BC1</v>
      </c>
      <c r="V758">
        <v>0</v>
      </c>
      <c r="W758">
        <v>0</v>
      </c>
      <c r="X758">
        <v>2</v>
      </c>
      <c r="Z758">
        <v>0</v>
      </c>
      <c r="AA758">
        <v>9</v>
      </c>
      <c r="AB758">
        <v>3</v>
      </c>
      <c r="AC758">
        <v>0</v>
      </c>
      <c r="AD758">
        <v>10</v>
      </c>
      <c r="AE758">
        <v>0</v>
      </c>
      <c r="AF758">
        <v>3</v>
      </c>
      <c r="AG758">
        <v>2</v>
      </c>
      <c r="AH758">
        <v>0</v>
      </c>
      <c r="AI758" t="s">
        <v>858</v>
      </c>
      <c r="AJ758">
        <v>45.811399999999999</v>
      </c>
      <c r="AK758" t="s">
        <v>859</v>
      </c>
      <c r="AL758">
        <v>-89.237137000000004</v>
      </c>
      <c r="AM758">
        <v>100</v>
      </c>
      <c r="AN758">
        <v>13200</v>
      </c>
      <c r="AO758" t="s">
        <v>118</v>
      </c>
      <c r="AP758">
        <v>150</v>
      </c>
      <c r="AQ758">
        <v>115</v>
      </c>
      <c r="AR758">
        <v>1472</v>
      </c>
      <c r="AZ758">
        <v>1200</v>
      </c>
      <c r="BA758">
        <v>1</v>
      </c>
      <c r="BB758" t="str">
        <f t="shared" si="39"/>
        <v xml:space="preserve">N690LS  </v>
      </c>
      <c r="BC758">
        <v>1</v>
      </c>
      <c r="BE758">
        <v>0</v>
      </c>
      <c r="BF758">
        <v>0</v>
      </c>
      <c r="BG758">
        <v>0</v>
      </c>
      <c r="BH758">
        <v>13625</v>
      </c>
      <c r="BI758">
        <v>1</v>
      </c>
      <c r="BJ758">
        <v>1</v>
      </c>
      <c r="BK758">
        <v>1</v>
      </c>
      <c r="BL758">
        <v>0</v>
      </c>
      <c r="BO758">
        <v>0</v>
      </c>
      <c r="BP758">
        <v>0</v>
      </c>
      <c r="BW758" t="str">
        <f>"13:56:47.513"</f>
        <v>13:56:47.513</v>
      </c>
      <c r="CJ758">
        <v>0</v>
      </c>
      <c r="CK758">
        <v>2</v>
      </c>
      <c r="CL758">
        <v>0</v>
      </c>
      <c r="CM758">
        <v>2</v>
      </c>
      <c r="CN758">
        <v>0</v>
      </c>
      <c r="CO758">
        <v>6</v>
      </c>
      <c r="CP758" t="s">
        <v>119</v>
      </c>
      <c r="CQ758">
        <v>209</v>
      </c>
      <c r="CR758">
        <v>3</v>
      </c>
      <c r="CW758">
        <v>7226817</v>
      </c>
      <c r="CY758">
        <v>1</v>
      </c>
      <c r="CZ758">
        <v>0</v>
      </c>
      <c r="DA758">
        <v>1</v>
      </c>
      <c r="DB758">
        <v>0</v>
      </c>
      <c r="DC758">
        <v>0</v>
      </c>
      <c r="DD758">
        <v>1</v>
      </c>
      <c r="DE758">
        <v>0</v>
      </c>
      <c r="DF758">
        <v>0</v>
      </c>
      <c r="DG758">
        <v>0</v>
      </c>
      <c r="DH758">
        <v>0</v>
      </c>
      <c r="DI758">
        <v>0</v>
      </c>
    </row>
    <row r="759" spans="1:113" x14ac:dyDescent="0.3">
      <c r="A759" t="str">
        <f>"09/28/2021 13:56:48.618"</f>
        <v>09/28/2021 13:56:48.618</v>
      </c>
      <c r="C759" t="str">
        <f t="shared" si="38"/>
        <v>FFDFD3C0</v>
      </c>
      <c r="D759" t="s">
        <v>120</v>
      </c>
      <c r="E759">
        <v>12</v>
      </c>
      <c r="F759">
        <v>1012</v>
      </c>
      <c r="G759" t="s">
        <v>114</v>
      </c>
      <c r="J759" t="s">
        <v>121</v>
      </c>
      <c r="K759">
        <v>0</v>
      </c>
      <c r="L759">
        <v>3</v>
      </c>
      <c r="M759">
        <v>0</v>
      </c>
      <c r="N759">
        <v>2</v>
      </c>
      <c r="O759">
        <v>1</v>
      </c>
      <c r="P759">
        <v>0</v>
      </c>
      <c r="Q759">
        <v>0</v>
      </c>
      <c r="S759" t="str">
        <f>"13:56:48.422"</f>
        <v>13:56:48.422</v>
      </c>
      <c r="T759" t="str">
        <f>"13:56:48.022"</f>
        <v>13:56:48.022</v>
      </c>
      <c r="U759" t="str">
        <f t="shared" si="37"/>
        <v>A92BC1</v>
      </c>
      <c r="V759">
        <v>0</v>
      </c>
      <c r="W759">
        <v>0</v>
      </c>
      <c r="X759">
        <v>2</v>
      </c>
      <c r="Z759">
        <v>0</v>
      </c>
      <c r="AA759">
        <v>9</v>
      </c>
      <c r="AB759">
        <v>3</v>
      </c>
      <c r="AC759">
        <v>0</v>
      </c>
      <c r="AD759">
        <v>10</v>
      </c>
      <c r="AE759">
        <v>0</v>
      </c>
      <c r="AF759">
        <v>3</v>
      </c>
      <c r="AG759">
        <v>2</v>
      </c>
      <c r="AH759">
        <v>0</v>
      </c>
      <c r="AI759" t="s">
        <v>860</v>
      </c>
      <c r="AJ759">
        <v>45.811957999999997</v>
      </c>
      <c r="AK759" t="s">
        <v>861</v>
      </c>
      <c r="AL759">
        <v>-89.236107000000004</v>
      </c>
      <c r="AM759">
        <v>100</v>
      </c>
      <c r="AN759">
        <v>13200</v>
      </c>
      <c r="AO759" t="s">
        <v>118</v>
      </c>
      <c r="AP759">
        <v>150</v>
      </c>
      <c r="AQ759">
        <v>115</v>
      </c>
      <c r="AR759">
        <v>1472</v>
      </c>
      <c r="AZ759">
        <v>1200</v>
      </c>
      <c r="BA759">
        <v>1</v>
      </c>
      <c r="BB759" t="str">
        <f t="shared" si="39"/>
        <v xml:space="preserve">N690LS  </v>
      </c>
      <c r="BC759">
        <v>1</v>
      </c>
      <c r="BE759">
        <v>0</v>
      </c>
      <c r="BF759">
        <v>0</v>
      </c>
      <c r="BG759">
        <v>0</v>
      </c>
      <c r="BH759">
        <v>13650</v>
      </c>
      <c r="BI759">
        <v>1</v>
      </c>
      <c r="BJ759">
        <v>1</v>
      </c>
      <c r="BK759">
        <v>1</v>
      </c>
      <c r="BL759">
        <v>0</v>
      </c>
      <c r="BO759">
        <v>0</v>
      </c>
      <c r="BP759">
        <v>0</v>
      </c>
      <c r="BW759" t="str">
        <f>"13:56:48.429"</f>
        <v>13:56:48.429</v>
      </c>
      <c r="CJ759">
        <v>0</v>
      </c>
      <c r="CK759">
        <v>2</v>
      </c>
      <c r="CL759">
        <v>0</v>
      </c>
      <c r="CM759">
        <v>2</v>
      </c>
      <c r="CN759">
        <v>0</v>
      </c>
      <c r="CO759">
        <v>6</v>
      </c>
      <c r="CP759" t="s">
        <v>119</v>
      </c>
      <c r="CQ759">
        <v>209</v>
      </c>
      <c r="CR759">
        <v>3</v>
      </c>
      <c r="CW759">
        <v>7227141</v>
      </c>
      <c r="CY759">
        <v>1</v>
      </c>
      <c r="CZ759">
        <v>0</v>
      </c>
      <c r="DA759">
        <v>0</v>
      </c>
      <c r="DB759">
        <v>0</v>
      </c>
      <c r="DC759">
        <v>0</v>
      </c>
      <c r="DD759">
        <v>1</v>
      </c>
      <c r="DE759">
        <v>0</v>
      </c>
      <c r="DF759">
        <v>0</v>
      </c>
      <c r="DG759">
        <v>0</v>
      </c>
      <c r="DH759">
        <v>0</v>
      </c>
      <c r="DI759">
        <v>0</v>
      </c>
    </row>
    <row r="760" spans="1:113" x14ac:dyDescent="0.3">
      <c r="A760" t="str">
        <f>"09/28/2021 13:56:48.664"</f>
        <v>09/28/2021 13:56:48.664</v>
      </c>
      <c r="C760" t="str">
        <f t="shared" si="38"/>
        <v>FFDFD3C0</v>
      </c>
      <c r="D760" t="s">
        <v>113</v>
      </c>
      <c r="E760">
        <v>7</v>
      </c>
      <c r="H760">
        <v>170</v>
      </c>
      <c r="I760" t="s">
        <v>114</v>
      </c>
      <c r="J760" t="s">
        <v>115</v>
      </c>
      <c r="K760">
        <v>0</v>
      </c>
      <c r="L760">
        <v>3</v>
      </c>
      <c r="M760">
        <v>0</v>
      </c>
      <c r="N760">
        <v>2</v>
      </c>
      <c r="O760">
        <v>1</v>
      </c>
      <c r="P760">
        <v>0</v>
      </c>
      <c r="Q760">
        <v>0</v>
      </c>
      <c r="S760" t="str">
        <f>"13:56:48.422"</f>
        <v>13:56:48.422</v>
      </c>
      <c r="T760" t="str">
        <f>"13:56:48.022"</f>
        <v>13:56:48.022</v>
      </c>
      <c r="U760" t="str">
        <f t="shared" si="37"/>
        <v>A92BC1</v>
      </c>
      <c r="V760">
        <v>0</v>
      </c>
      <c r="W760">
        <v>0</v>
      </c>
      <c r="X760">
        <v>2</v>
      </c>
      <c r="Z760">
        <v>0</v>
      </c>
      <c r="AA760">
        <v>9</v>
      </c>
      <c r="AB760">
        <v>3</v>
      </c>
      <c r="AC760">
        <v>0</v>
      </c>
      <c r="AD760">
        <v>10</v>
      </c>
      <c r="AE760">
        <v>0</v>
      </c>
      <c r="AF760">
        <v>3</v>
      </c>
      <c r="AG760">
        <v>2</v>
      </c>
      <c r="AH760">
        <v>0</v>
      </c>
      <c r="AI760" t="s">
        <v>860</v>
      </c>
      <c r="AJ760">
        <v>45.811957999999997</v>
      </c>
      <c r="AK760" t="s">
        <v>861</v>
      </c>
      <c r="AL760">
        <v>-89.236107000000004</v>
      </c>
      <c r="AM760">
        <v>100</v>
      </c>
      <c r="AN760">
        <v>13200</v>
      </c>
      <c r="AO760" t="s">
        <v>118</v>
      </c>
      <c r="AP760">
        <v>150</v>
      </c>
      <c r="AQ760">
        <v>115</v>
      </c>
      <c r="AR760">
        <v>1472</v>
      </c>
      <c r="AZ760">
        <v>1200</v>
      </c>
      <c r="BA760">
        <v>1</v>
      </c>
      <c r="BB760" t="str">
        <f t="shared" si="39"/>
        <v xml:space="preserve">N690LS  </v>
      </c>
      <c r="BC760">
        <v>1</v>
      </c>
      <c r="BE760">
        <v>0</v>
      </c>
      <c r="BF760">
        <v>0</v>
      </c>
      <c r="BG760">
        <v>0</v>
      </c>
      <c r="BH760">
        <v>13650</v>
      </c>
      <c r="BI760">
        <v>1</v>
      </c>
      <c r="BJ760">
        <v>1</v>
      </c>
      <c r="BK760">
        <v>1</v>
      </c>
      <c r="BL760">
        <v>0</v>
      </c>
      <c r="BO760">
        <v>0</v>
      </c>
      <c r="BP760">
        <v>0</v>
      </c>
      <c r="BW760" t="str">
        <f>"13:56:48.429"</f>
        <v>13:56:48.429</v>
      </c>
      <c r="CJ760">
        <v>0</v>
      </c>
      <c r="CK760">
        <v>2</v>
      </c>
      <c r="CL760">
        <v>0</v>
      </c>
      <c r="CM760">
        <v>2</v>
      </c>
      <c r="CN760">
        <v>0</v>
      </c>
      <c r="CO760">
        <v>6</v>
      </c>
      <c r="CP760" t="s">
        <v>119</v>
      </c>
      <c r="CQ760">
        <v>209</v>
      </c>
      <c r="CR760">
        <v>3</v>
      </c>
      <c r="CW760">
        <v>7227141</v>
      </c>
      <c r="CY760">
        <v>1</v>
      </c>
      <c r="CZ760">
        <v>0</v>
      </c>
      <c r="DA760">
        <v>1</v>
      </c>
      <c r="DB760">
        <v>0</v>
      </c>
      <c r="DC760">
        <v>0</v>
      </c>
      <c r="DD760">
        <v>1</v>
      </c>
      <c r="DE760">
        <v>0</v>
      </c>
      <c r="DF760">
        <v>0</v>
      </c>
      <c r="DG760">
        <v>0</v>
      </c>
      <c r="DH760">
        <v>0</v>
      </c>
      <c r="DI760">
        <v>0</v>
      </c>
    </row>
    <row r="761" spans="1:113" x14ac:dyDescent="0.3">
      <c r="A761" t="str">
        <f>"09/28/2021 13:56:49.728"</f>
        <v>09/28/2021 13:56:49.728</v>
      </c>
      <c r="C761" t="str">
        <f t="shared" si="38"/>
        <v>FFDFD3C0</v>
      </c>
      <c r="D761" t="s">
        <v>120</v>
      </c>
      <c r="E761">
        <v>12</v>
      </c>
      <c r="F761">
        <v>1012</v>
      </c>
      <c r="G761" t="s">
        <v>114</v>
      </c>
      <c r="J761" t="s">
        <v>121</v>
      </c>
      <c r="K761">
        <v>0</v>
      </c>
      <c r="L761">
        <v>3</v>
      </c>
      <c r="M761">
        <v>0</v>
      </c>
      <c r="N761">
        <v>2</v>
      </c>
      <c r="O761">
        <v>1</v>
      </c>
      <c r="P761">
        <v>0</v>
      </c>
      <c r="Q761">
        <v>0</v>
      </c>
      <c r="S761" t="str">
        <f>"13:56:49.492"</f>
        <v>13:56:49.492</v>
      </c>
      <c r="T761" t="str">
        <f>"13:56:48.992"</f>
        <v>13:56:48.992</v>
      </c>
      <c r="U761" t="str">
        <f t="shared" si="37"/>
        <v>A92BC1</v>
      </c>
      <c r="V761">
        <v>0</v>
      </c>
      <c r="W761">
        <v>0</v>
      </c>
      <c r="X761">
        <v>2</v>
      </c>
      <c r="Z761">
        <v>0</v>
      </c>
      <c r="AA761">
        <v>9</v>
      </c>
      <c r="AB761">
        <v>3</v>
      </c>
      <c r="AC761">
        <v>0</v>
      </c>
      <c r="AD761">
        <v>10</v>
      </c>
      <c r="AE761">
        <v>0</v>
      </c>
      <c r="AF761">
        <v>3</v>
      </c>
      <c r="AG761">
        <v>2</v>
      </c>
      <c r="AH761">
        <v>0</v>
      </c>
      <c r="AI761" t="s">
        <v>862</v>
      </c>
      <c r="AJ761">
        <v>45.812472999999997</v>
      </c>
      <c r="AK761" t="s">
        <v>863</v>
      </c>
      <c r="AL761">
        <v>-89.235140999999999</v>
      </c>
      <c r="AM761">
        <v>100</v>
      </c>
      <c r="AN761">
        <v>13300</v>
      </c>
      <c r="AO761" t="s">
        <v>118</v>
      </c>
      <c r="AP761">
        <v>150</v>
      </c>
      <c r="AQ761">
        <v>115</v>
      </c>
      <c r="AR761">
        <v>1472</v>
      </c>
      <c r="AZ761">
        <v>1200</v>
      </c>
      <c r="BA761">
        <v>1</v>
      </c>
      <c r="BB761" t="str">
        <f t="shared" si="39"/>
        <v xml:space="preserve">N690LS  </v>
      </c>
      <c r="BC761">
        <v>1</v>
      </c>
      <c r="BE761">
        <v>0</v>
      </c>
      <c r="BF761">
        <v>0</v>
      </c>
      <c r="BG761">
        <v>0</v>
      </c>
      <c r="BH761">
        <v>13675</v>
      </c>
      <c r="BI761">
        <v>1</v>
      </c>
      <c r="BJ761">
        <v>1</v>
      </c>
      <c r="BK761">
        <v>1</v>
      </c>
      <c r="BL761">
        <v>0</v>
      </c>
      <c r="BO761">
        <v>0</v>
      </c>
      <c r="BP761">
        <v>0</v>
      </c>
      <c r="BW761" t="str">
        <f>"13:56:49.497"</f>
        <v>13:56:49.497</v>
      </c>
      <c r="CJ761">
        <v>0</v>
      </c>
      <c r="CK761">
        <v>2</v>
      </c>
      <c r="CL761">
        <v>0</v>
      </c>
      <c r="CM761">
        <v>2</v>
      </c>
      <c r="CN761">
        <v>0</v>
      </c>
      <c r="CO761">
        <v>6</v>
      </c>
      <c r="CP761" t="s">
        <v>119</v>
      </c>
      <c r="CQ761">
        <v>209</v>
      </c>
      <c r="CR761">
        <v>3</v>
      </c>
      <c r="CW761">
        <v>7227497</v>
      </c>
      <c r="CY761">
        <v>1</v>
      </c>
      <c r="CZ761">
        <v>0</v>
      </c>
      <c r="DA761">
        <v>0</v>
      </c>
      <c r="DB761">
        <v>0</v>
      </c>
      <c r="DC761">
        <v>0</v>
      </c>
      <c r="DD761">
        <v>1</v>
      </c>
      <c r="DE761">
        <v>0</v>
      </c>
      <c r="DF761">
        <v>0</v>
      </c>
      <c r="DG761">
        <v>0</v>
      </c>
      <c r="DH761">
        <v>0</v>
      </c>
      <c r="DI761">
        <v>0</v>
      </c>
    </row>
    <row r="762" spans="1:113" x14ac:dyDescent="0.3">
      <c r="A762" t="str">
        <f>"09/28/2021 13:56:49.744"</f>
        <v>09/28/2021 13:56:49.744</v>
      </c>
      <c r="C762" t="str">
        <f t="shared" si="38"/>
        <v>FFDFD3C0</v>
      </c>
      <c r="D762" t="s">
        <v>113</v>
      </c>
      <c r="E762">
        <v>7</v>
      </c>
      <c r="H762">
        <v>170</v>
      </c>
      <c r="I762" t="s">
        <v>114</v>
      </c>
      <c r="J762" t="s">
        <v>115</v>
      </c>
      <c r="K762">
        <v>0</v>
      </c>
      <c r="L762">
        <v>3</v>
      </c>
      <c r="M762">
        <v>0</v>
      </c>
      <c r="N762">
        <v>2</v>
      </c>
      <c r="O762">
        <v>1</v>
      </c>
      <c r="P762">
        <v>0</v>
      </c>
      <c r="Q762">
        <v>0</v>
      </c>
      <c r="S762" t="str">
        <f>"13:56:49.492"</f>
        <v>13:56:49.492</v>
      </c>
      <c r="T762" t="str">
        <f>"13:56:48.992"</f>
        <v>13:56:48.992</v>
      </c>
      <c r="U762" t="str">
        <f t="shared" si="37"/>
        <v>A92BC1</v>
      </c>
      <c r="V762">
        <v>0</v>
      </c>
      <c r="W762">
        <v>0</v>
      </c>
      <c r="X762">
        <v>2</v>
      </c>
      <c r="Z762">
        <v>0</v>
      </c>
      <c r="AA762">
        <v>9</v>
      </c>
      <c r="AB762">
        <v>3</v>
      </c>
      <c r="AC762">
        <v>0</v>
      </c>
      <c r="AD762">
        <v>10</v>
      </c>
      <c r="AE762">
        <v>0</v>
      </c>
      <c r="AF762">
        <v>3</v>
      </c>
      <c r="AG762">
        <v>2</v>
      </c>
      <c r="AH762">
        <v>0</v>
      </c>
      <c r="AI762" t="s">
        <v>862</v>
      </c>
      <c r="AJ762">
        <v>45.812472999999997</v>
      </c>
      <c r="AK762" t="s">
        <v>863</v>
      </c>
      <c r="AL762">
        <v>-89.235140999999999</v>
      </c>
      <c r="AM762">
        <v>100</v>
      </c>
      <c r="AN762">
        <v>13300</v>
      </c>
      <c r="AO762" t="s">
        <v>118</v>
      </c>
      <c r="AP762">
        <v>150</v>
      </c>
      <c r="AQ762">
        <v>115</v>
      </c>
      <c r="AR762">
        <v>1472</v>
      </c>
      <c r="AZ762">
        <v>1200</v>
      </c>
      <c r="BA762">
        <v>1</v>
      </c>
      <c r="BB762" t="str">
        <f t="shared" si="39"/>
        <v xml:space="preserve">N690LS  </v>
      </c>
      <c r="BC762">
        <v>1</v>
      </c>
      <c r="BE762">
        <v>0</v>
      </c>
      <c r="BF762">
        <v>0</v>
      </c>
      <c r="BG762">
        <v>0</v>
      </c>
      <c r="BH762">
        <v>13675</v>
      </c>
      <c r="BI762">
        <v>1</v>
      </c>
      <c r="BJ762">
        <v>1</v>
      </c>
      <c r="BK762">
        <v>1</v>
      </c>
      <c r="BL762">
        <v>0</v>
      </c>
      <c r="BO762">
        <v>0</v>
      </c>
      <c r="BP762">
        <v>0</v>
      </c>
      <c r="BW762" t="str">
        <f>"13:56:49.497"</f>
        <v>13:56:49.497</v>
      </c>
      <c r="CJ762">
        <v>0</v>
      </c>
      <c r="CK762">
        <v>2</v>
      </c>
      <c r="CL762">
        <v>0</v>
      </c>
      <c r="CM762">
        <v>2</v>
      </c>
      <c r="CN762">
        <v>0</v>
      </c>
      <c r="CO762">
        <v>6</v>
      </c>
      <c r="CP762" t="s">
        <v>119</v>
      </c>
      <c r="CQ762">
        <v>209</v>
      </c>
      <c r="CR762">
        <v>3</v>
      </c>
      <c r="CW762">
        <v>7227497</v>
      </c>
      <c r="CY762">
        <v>1</v>
      </c>
      <c r="CZ762">
        <v>0</v>
      </c>
      <c r="DA762">
        <v>1</v>
      </c>
      <c r="DB762">
        <v>0</v>
      </c>
      <c r="DC762">
        <v>0</v>
      </c>
      <c r="DD762">
        <v>1</v>
      </c>
      <c r="DE762">
        <v>0</v>
      </c>
      <c r="DF762">
        <v>0</v>
      </c>
      <c r="DG762">
        <v>0</v>
      </c>
      <c r="DH762">
        <v>0</v>
      </c>
      <c r="DI762">
        <v>0</v>
      </c>
    </row>
    <row r="763" spans="1:113" x14ac:dyDescent="0.3">
      <c r="A763" t="str">
        <f>"09/28/2021 13:56:50.838"</f>
        <v>09/28/2021 13:56:50.838</v>
      </c>
      <c r="C763" t="str">
        <f t="shared" si="38"/>
        <v>FFDFD3C0</v>
      </c>
      <c r="D763" t="s">
        <v>120</v>
      </c>
      <c r="E763">
        <v>12</v>
      </c>
      <c r="F763">
        <v>1012</v>
      </c>
      <c r="G763" t="s">
        <v>114</v>
      </c>
      <c r="J763" t="s">
        <v>121</v>
      </c>
      <c r="K763">
        <v>0</v>
      </c>
      <c r="L763">
        <v>3</v>
      </c>
      <c r="M763">
        <v>0</v>
      </c>
      <c r="N763">
        <v>2</v>
      </c>
      <c r="O763">
        <v>1</v>
      </c>
      <c r="P763">
        <v>0</v>
      </c>
      <c r="Q763">
        <v>0</v>
      </c>
      <c r="S763" t="str">
        <f>"13:56:50.602"</f>
        <v>13:56:50.602</v>
      </c>
      <c r="T763" t="str">
        <f>"13:56:50.102"</f>
        <v>13:56:50.102</v>
      </c>
      <c r="U763" t="str">
        <f t="shared" si="37"/>
        <v>A92BC1</v>
      </c>
      <c r="V763">
        <v>0</v>
      </c>
      <c r="W763">
        <v>0</v>
      </c>
      <c r="X763">
        <v>2</v>
      </c>
      <c r="Z763">
        <v>0</v>
      </c>
      <c r="AA763">
        <v>9</v>
      </c>
      <c r="AB763">
        <v>3</v>
      </c>
      <c r="AC763">
        <v>0</v>
      </c>
      <c r="AD763">
        <v>10</v>
      </c>
      <c r="AE763">
        <v>0</v>
      </c>
      <c r="AF763">
        <v>3</v>
      </c>
      <c r="AG763">
        <v>2</v>
      </c>
      <c r="AH763">
        <v>0</v>
      </c>
      <c r="AI763" t="s">
        <v>864</v>
      </c>
      <c r="AJ763">
        <v>45.813074</v>
      </c>
      <c r="AK763" t="s">
        <v>865</v>
      </c>
      <c r="AL763">
        <v>-89.234047000000004</v>
      </c>
      <c r="AM763">
        <v>100</v>
      </c>
      <c r="AN763">
        <v>13300</v>
      </c>
      <c r="AO763" t="s">
        <v>118</v>
      </c>
      <c r="AP763">
        <v>150</v>
      </c>
      <c r="AQ763">
        <v>115</v>
      </c>
      <c r="AR763">
        <v>1472</v>
      </c>
      <c r="AZ763">
        <v>1200</v>
      </c>
      <c r="BA763">
        <v>1</v>
      </c>
      <c r="BB763" t="str">
        <f t="shared" si="39"/>
        <v xml:space="preserve">N690LS  </v>
      </c>
      <c r="BC763">
        <v>1</v>
      </c>
      <c r="BE763">
        <v>0</v>
      </c>
      <c r="BF763">
        <v>0</v>
      </c>
      <c r="BG763">
        <v>0</v>
      </c>
      <c r="BH763">
        <v>13700</v>
      </c>
      <c r="BI763">
        <v>1</v>
      </c>
      <c r="BJ763">
        <v>1</v>
      </c>
      <c r="BK763">
        <v>1</v>
      </c>
      <c r="BL763">
        <v>0</v>
      </c>
      <c r="BO763">
        <v>0</v>
      </c>
      <c r="BP763">
        <v>0</v>
      </c>
      <c r="BW763" t="str">
        <f>"13:56:50.602"</f>
        <v>13:56:50.602</v>
      </c>
      <c r="CJ763">
        <v>0</v>
      </c>
      <c r="CK763">
        <v>2</v>
      </c>
      <c r="CL763">
        <v>0</v>
      </c>
      <c r="CM763">
        <v>2</v>
      </c>
      <c r="CN763">
        <v>0</v>
      </c>
      <c r="CO763">
        <v>6</v>
      </c>
      <c r="CP763" t="s">
        <v>119</v>
      </c>
      <c r="CQ763">
        <v>210</v>
      </c>
      <c r="CR763">
        <v>2</v>
      </c>
      <c r="CW763">
        <v>2326556</v>
      </c>
      <c r="CY763">
        <v>1</v>
      </c>
      <c r="CZ763">
        <v>0</v>
      </c>
      <c r="DA763">
        <v>0</v>
      </c>
      <c r="DB763">
        <v>0</v>
      </c>
      <c r="DC763">
        <v>0</v>
      </c>
      <c r="DD763">
        <v>1</v>
      </c>
      <c r="DE763">
        <v>0</v>
      </c>
      <c r="DF763">
        <v>0</v>
      </c>
      <c r="DG763">
        <v>0</v>
      </c>
      <c r="DH763">
        <v>0</v>
      </c>
      <c r="DI763">
        <v>0</v>
      </c>
    </row>
    <row r="764" spans="1:113" x14ac:dyDescent="0.3">
      <c r="A764" t="str">
        <f>"09/28/2021 13:56:50.838"</f>
        <v>09/28/2021 13:56:50.838</v>
      </c>
      <c r="C764" t="str">
        <f t="shared" si="38"/>
        <v>FFDFD3C0</v>
      </c>
      <c r="D764" t="s">
        <v>113</v>
      </c>
      <c r="E764">
        <v>7</v>
      </c>
      <c r="H764">
        <v>170</v>
      </c>
      <c r="I764" t="s">
        <v>114</v>
      </c>
      <c r="J764" t="s">
        <v>115</v>
      </c>
      <c r="K764">
        <v>0</v>
      </c>
      <c r="L764">
        <v>3</v>
      </c>
      <c r="M764">
        <v>0</v>
      </c>
      <c r="N764">
        <v>2</v>
      </c>
      <c r="O764">
        <v>1</v>
      </c>
      <c r="P764">
        <v>0</v>
      </c>
      <c r="Q764">
        <v>0</v>
      </c>
      <c r="S764" t="str">
        <f>"13:56:50.602"</f>
        <v>13:56:50.602</v>
      </c>
      <c r="T764" t="str">
        <f>"13:56:50.102"</f>
        <v>13:56:50.102</v>
      </c>
      <c r="U764" t="str">
        <f t="shared" si="37"/>
        <v>A92BC1</v>
      </c>
      <c r="V764">
        <v>0</v>
      </c>
      <c r="W764">
        <v>0</v>
      </c>
      <c r="X764">
        <v>2</v>
      </c>
      <c r="Z764">
        <v>0</v>
      </c>
      <c r="AA764">
        <v>9</v>
      </c>
      <c r="AB764">
        <v>3</v>
      </c>
      <c r="AC764">
        <v>0</v>
      </c>
      <c r="AD764">
        <v>10</v>
      </c>
      <c r="AE764">
        <v>0</v>
      </c>
      <c r="AF764">
        <v>3</v>
      </c>
      <c r="AG764">
        <v>2</v>
      </c>
      <c r="AH764">
        <v>0</v>
      </c>
      <c r="AI764" t="s">
        <v>864</v>
      </c>
      <c r="AJ764">
        <v>45.813074</v>
      </c>
      <c r="AK764" t="s">
        <v>865</v>
      </c>
      <c r="AL764">
        <v>-89.234047000000004</v>
      </c>
      <c r="AM764">
        <v>100</v>
      </c>
      <c r="AN764">
        <v>13300</v>
      </c>
      <c r="AO764" t="s">
        <v>118</v>
      </c>
      <c r="AP764">
        <v>150</v>
      </c>
      <c r="AQ764">
        <v>115</v>
      </c>
      <c r="AR764">
        <v>1472</v>
      </c>
      <c r="AZ764">
        <v>1200</v>
      </c>
      <c r="BA764">
        <v>1</v>
      </c>
      <c r="BB764" t="str">
        <f t="shared" si="39"/>
        <v xml:space="preserve">N690LS  </v>
      </c>
      <c r="BC764">
        <v>1</v>
      </c>
      <c r="BE764">
        <v>0</v>
      </c>
      <c r="BF764">
        <v>0</v>
      </c>
      <c r="BG764">
        <v>0</v>
      </c>
      <c r="BH764">
        <v>13700</v>
      </c>
      <c r="BI764">
        <v>1</v>
      </c>
      <c r="BJ764">
        <v>1</v>
      </c>
      <c r="BK764">
        <v>1</v>
      </c>
      <c r="BL764">
        <v>0</v>
      </c>
      <c r="BO764">
        <v>0</v>
      </c>
      <c r="BP764">
        <v>0</v>
      </c>
      <c r="BW764" t="str">
        <f>"13:56:50.602"</f>
        <v>13:56:50.602</v>
      </c>
      <c r="CJ764">
        <v>0</v>
      </c>
      <c r="CK764">
        <v>2</v>
      </c>
      <c r="CL764">
        <v>0</v>
      </c>
      <c r="CM764">
        <v>2</v>
      </c>
      <c r="CN764">
        <v>0</v>
      </c>
      <c r="CO764">
        <v>6</v>
      </c>
      <c r="CP764" t="s">
        <v>119</v>
      </c>
      <c r="CQ764">
        <v>210</v>
      </c>
      <c r="CR764">
        <v>2</v>
      </c>
      <c r="CW764">
        <v>2326556</v>
      </c>
      <c r="CY764">
        <v>1</v>
      </c>
      <c r="CZ764">
        <v>0</v>
      </c>
      <c r="DA764">
        <v>1</v>
      </c>
      <c r="DB764">
        <v>0</v>
      </c>
      <c r="DC764">
        <v>0</v>
      </c>
      <c r="DD764">
        <v>1</v>
      </c>
      <c r="DE764">
        <v>0</v>
      </c>
      <c r="DF764">
        <v>0</v>
      </c>
      <c r="DG764">
        <v>0</v>
      </c>
      <c r="DH764">
        <v>0</v>
      </c>
      <c r="DI764">
        <v>0</v>
      </c>
    </row>
    <row r="765" spans="1:113" x14ac:dyDescent="0.3">
      <c r="A765" t="str">
        <f>"09/28/2021 13:56:51.886"</f>
        <v>09/28/2021 13:56:51.886</v>
      </c>
      <c r="C765" t="str">
        <f t="shared" si="38"/>
        <v>FFDFD3C0</v>
      </c>
      <c r="D765" t="s">
        <v>120</v>
      </c>
      <c r="E765">
        <v>12</v>
      </c>
      <c r="F765">
        <v>1012</v>
      </c>
      <c r="G765" t="s">
        <v>114</v>
      </c>
      <c r="J765" t="s">
        <v>121</v>
      </c>
      <c r="K765">
        <v>0</v>
      </c>
      <c r="L765">
        <v>3</v>
      </c>
      <c r="M765">
        <v>0</v>
      </c>
      <c r="N765">
        <v>2</v>
      </c>
      <c r="O765">
        <v>1</v>
      </c>
      <c r="P765">
        <v>0</v>
      </c>
      <c r="Q765">
        <v>0</v>
      </c>
      <c r="S765" t="str">
        <f>"13:56:51.656"</f>
        <v>13:56:51.656</v>
      </c>
      <c r="T765" t="str">
        <f>"13:56:51.256"</f>
        <v>13:56:51.256</v>
      </c>
      <c r="U765" t="str">
        <f t="shared" si="37"/>
        <v>A92BC1</v>
      </c>
      <c r="V765">
        <v>0</v>
      </c>
      <c r="W765">
        <v>0</v>
      </c>
      <c r="X765">
        <v>2</v>
      </c>
      <c r="Z765">
        <v>0</v>
      </c>
      <c r="AA765">
        <v>9</v>
      </c>
      <c r="AB765">
        <v>3</v>
      </c>
      <c r="AC765">
        <v>0</v>
      </c>
      <c r="AD765">
        <v>10</v>
      </c>
      <c r="AE765">
        <v>0</v>
      </c>
      <c r="AF765">
        <v>3</v>
      </c>
      <c r="AG765">
        <v>2</v>
      </c>
      <c r="AH765">
        <v>0</v>
      </c>
      <c r="AI765" t="s">
        <v>866</v>
      </c>
      <c r="AJ765">
        <v>45.813631999999998</v>
      </c>
      <c r="AK765" t="s">
        <v>867</v>
      </c>
      <c r="AL765">
        <v>-89.232952999999995</v>
      </c>
      <c r="AM765">
        <v>100</v>
      </c>
      <c r="AN765">
        <v>13300</v>
      </c>
      <c r="AO765" t="s">
        <v>118</v>
      </c>
      <c r="AP765">
        <v>150</v>
      </c>
      <c r="AQ765">
        <v>115</v>
      </c>
      <c r="AR765">
        <v>1472</v>
      </c>
      <c r="AZ765">
        <v>1200</v>
      </c>
      <c r="BA765">
        <v>1</v>
      </c>
      <c r="BB765" t="str">
        <f t="shared" si="39"/>
        <v xml:space="preserve">N690LS  </v>
      </c>
      <c r="BC765">
        <v>1</v>
      </c>
      <c r="BE765">
        <v>0</v>
      </c>
      <c r="BF765">
        <v>0</v>
      </c>
      <c r="BG765">
        <v>0</v>
      </c>
      <c r="BH765">
        <v>13725</v>
      </c>
      <c r="BI765">
        <v>1</v>
      </c>
      <c r="BJ765">
        <v>1</v>
      </c>
      <c r="BK765">
        <v>1</v>
      </c>
      <c r="BL765">
        <v>0</v>
      </c>
      <c r="BO765">
        <v>0</v>
      </c>
      <c r="BP765">
        <v>0</v>
      </c>
      <c r="BW765" t="str">
        <f>"13:56:51.660"</f>
        <v>13:56:51.660</v>
      </c>
      <c r="CJ765">
        <v>0</v>
      </c>
      <c r="CK765">
        <v>2</v>
      </c>
      <c r="CL765">
        <v>0</v>
      </c>
      <c r="CM765">
        <v>2</v>
      </c>
      <c r="CN765">
        <v>0</v>
      </c>
      <c r="CO765">
        <v>6</v>
      </c>
      <c r="CP765" t="s">
        <v>119</v>
      </c>
      <c r="CQ765">
        <v>209</v>
      </c>
      <c r="CR765">
        <v>3</v>
      </c>
      <c r="CW765">
        <v>7228232</v>
      </c>
      <c r="CY765">
        <v>1</v>
      </c>
      <c r="CZ765">
        <v>0</v>
      </c>
      <c r="DA765">
        <v>0</v>
      </c>
      <c r="DB765">
        <v>0</v>
      </c>
      <c r="DC765">
        <v>0</v>
      </c>
      <c r="DD765">
        <v>1</v>
      </c>
      <c r="DE765">
        <v>0</v>
      </c>
      <c r="DF765">
        <v>0</v>
      </c>
      <c r="DG765">
        <v>0</v>
      </c>
      <c r="DH765">
        <v>0</v>
      </c>
      <c r="DI765">
        <v>0</v>
      </c>
    </row>
    <row r="766" spans="1:113" x14ac:dyDescent="0.3">
      <c r="A766" t="str">
        <f>"09/28/2021 13:56:51.886"</f>
        <v>09/28/2021 13:56:51.886</v>
      </c>
      <c r="C766" t="str">
        <f t="shared" si="38"/>
        <v>FFDFD3C0</v>
      </c>
      <c r="D766" t="s">
        <v>113</v>
      </c>
      <c r="E766">
        <v>7</v>
      </c>
      <c r="H766">
        <v>170</v>
      </c>
      <c r="I766" t="s">
        <v>114</v>
      </c>
      <c r="J766" t="s">
        <v>115</v>
      </c>
      <c r="K766">
        <v>0</v>
      </c>
      <c r="L766">
        <v>3</v>
      </c>
      <c r="M766">
        <v>0</v>
      </c>
      <c r="N766">
        <v>2</v>
      </c>
      <c r="O766">
        <v>1</v>
      </c>
      <c r="P766">
        <v>0</v>
      </c>
      <c r="Q766">
        <v>0</v>
      </c>
      <c r="S766" t="str">
        <f>"13:56:51.656"</f>
        <v>13:56:51.656</v>
      </c>
      <c r="T766" t="str">
        <f>"13:56:51.256"</f>
        <v>13:56:51.256</v>
      </c>
      <c r="U766" t="str">
        <f t="shared" si="37"/>
        <v>A92BC1</v>
      </c>
      <c r="V766">
        <v>0</v>
      </c>
      <c r="W766">
        <v>0</v>
      </c>
      <c r="X766">
        <v>2</v>
      </c>
      <c r="Z766">
        <v>0</v>
      </c>
      <c r="AA766">
        <v>9</v>
      </c>
      <c r="AB766">
        <v>3</v>
      </c>
      <c r="AC766">
        <v>0</v>
      </c>
      <c r="AD766">
        <v>10</v>
      </c>
      <c r="AE766">
        <v>0</v>
      </c>
      <c r="AF766">
        <v>3</v>
      </c>
      <c r="AG766">
        <v>2</v>
      </c>
      <c r="AH766">
        <v>0</v>
      </c>
      <c r="AI766" t="s">
        <v>866</v>
      </c>
      <c r="AJ766">
        <v>45.813631999999998</v>
      </c>
      <c r="AK766" t="s">
        <v>867</v>
      </c>
      <c r="AL766">
        <v>-89.232952999999995</v>
      </c>
      <c r="AM766">
        <v>100</v>
      </c>
      <c r="AN766">
        <v>13300</v>
      </c>
      <c r="AO766" t="s">
        <v>118</v>
      </c>
      <c r="AP766">
        <v>150</v>
      </c>
      <c r="AQ766">
        <v>115</v>
      </c>
      <c r="AR766">
        <v>1472</v>
      </c>
      <c r="AZ766">
        <v>1200</v>
      </c>
      <c r="BA766">
        <v>1</v>
      </c>
      <c r="BB766" t="str">
        <f t="shared" si="39"/>
        <v xml:space="preserve">N690LS  </v>
      </c>
      <c r="BC766">
        <v>1</v>
      </c>
      <c r="BE766">
        <v>0</v>
      </c>
      <c r="BF766">
        <v>0</v>
      </c>
      <c r="BG766">
        <v>0</v>
      </c>
      <c r="BH766">
        <v>13725</v>
      </c>
      <c r="BI766">
        <v>1</v>
      </c>
      <c r="BJ766">
        <v>1</v>
      </c>
      <c r="BK766">
        <v>1</v>
      </c>
      <c r="BL766">
        <v>0</v>
      </c>
      <c r="BO766">
        <v>0</v>
      </c>
      <c r="BP766">
        <v>0</v>
      </c>
      <c r="BW766" t="str">
        <f>"13:56:51.660"</f>
        <v>13:56:51.660</v>
      </c>
      <c r="CJ766">
        <v>0</v>
      </c>
      <c r="CK766">
        <v>2</v>
      </c>
      <c r="CL766">
        <v>0</v>
      </c>
      <c r="CM766">
        <v>2</v>
      </c>
      <c r="CN766">
        <v>0</v>
      </c>
      <c r="CO766">
        <v>6</v>
      </c>
      <c r="CP766" t="s">
        <v>119</v>
      </c>
      <c r="CQ766">
        <v>209</v>
      </c>
      <c r="CR766">
        <v>3</v>
      </c>
      <c r="CW766">
        <v>7228232</v>
      </c>
      <c r="CY766">
        <v>1</v>
      </c>
      <c r="CZ766">
        <v>0</v>
      </c>
      <c r="DA766">
        <v>1</v>
      </c>
      <c r="DB766">
        <v>0</v>
      </c>
      <c r="DC766">
        <v>0</v>
      </c>
      <c r="DD766">
        <v>1</v>
      </c>
      <c r="DE766">
        <v>0</v>
      </c>
      <c r="DF766">
        <v>0</v>
      </c>
      <c r="DG766">
        <v>0</v>
      </c>
      <c r="DH766">
        <v>0</v>
      </c>
      <c r="DI766">
        <v>0</v>
      </c>
    </row>
    <row r="767" spans="1:113" x14ac:dyDescent="0.3">
      <c r="A767" t="str">
        <f>"09/28/2021 13:56:52.870"</f>
        <v>09/28/2021 13:56:52.870</v>
      </c>
      <c r="C767" t="str">
        <f t="shared" si="38"/>
        <v>FFDFD3C0</v>
      </c>
      <c r="D767" t="s">
        <v>120</v>
      </c>
      <c r="E767">
        <v>12</v>
      </c>
      <c r="F767">
        <v>1012</v>
      </c>
      <c r="G767" t="s">
        <v>114</v>
      </c>
      <c r="J767" t="s">
        <v>121</v>
      </c>
      <c r="K767">
        <v>0</v>
      </c>
      <c r="L767">
        <v>3</v>
      </c>
      <c r="M767">
        <v>0</v>
      </c>
      <c r="N767">
        <v>2</v>
      </c>
      <c r="O767">
        <v>1</v>
      </c>
      <c r="P767">
        <v>0</v>
      </c>
      <c r="Q767">
        <v>0</v>
      </c>
      <c r="S767" t="str">
        <f>"13:56:52.664"</f>
        <v>13:56:52.664</v>
      </c>
      <c r="T767" t="str">
        <f>"13:56:52.164"</f>
        <v>13:56:52.164</v>
      </c>
      <c r="U767" t="str">
        <f t="shared" si="37"/>
        <v>A92BC1</v>
      </c>
      <c r="V767">
        <v>0</v>
      </c>
      <c r="W767">
        <v>0</v>
      </c>
      <c r="X767">
        <v>2</v>
      </c>
      <c r="Z767">
        <v>0</v>
      </c>
      <c r="AA767">
        <v>9</v>
      </c>
      <c r="AB767">
        <v>3</v>
      </c>
      <c r="AC767">
        <v>0</v>
      </c>
      <c r="AD767">
        <v>10</v>
      </c>
      <c r="AE767">
        <v>0</v>
      </c>
      <c r="AF767">
        <v>3</v>
      </c>
      <c r="AG767">
        <v>2</v>
      </c>
      <c r="AH767">
        <v>0</v>
      </c>
      <c r="AI767" t="s">
        <v>868</v>
      </c>
      <c r="AJ767">
        <v>45.814190000000004</v>
      </c>
      <c r="AK767" t="s">
        <v>869</v>
      </c>
      <c r="AL767">
        <v>-89.231987000000004</v>
      </c>
      <c r="AM767">
        <v>100</v>
      </c>
      <c r="AN767">
        <v>13300</v>
      </c>
      <c r="AO767" t="s">
        <v>118</v>
      </c>
      <c r="AP767">
        <v>149</v>
      </c>
      <c r="AQ767">
        <v>116</v>
      </c>
      <c r="AR767">
        <v>1472</v>
      </c>
      <c r="AZ767">
        <v>1200</v>
      </c>
      <c r="BA767">
        <v>1</v>
      </c>
      <c r="BB767" t="str">
        <f t="shared" si="39"/>
        <v xml:space="preserve">N690LS  </v>
      </c>
      <c r="BC767">
        <v>1</v>
      </c>
      <c r="BE767">
        <v>0</v>
      </c>
      <c r="BF767">
        <v>0</v>
      </c>
      <c r="BG767">
        <v>0</v>
      </c>
      <c r="BH767">
        <v>13750</v>
      </c>
      <c r="BI767">
        <v>1</v>
      </c>
      <c r="BJ767">
        <v>1</v>
      </c>
      <c r="BK767">
        <v>1</v>
      </c>
      <c r="BL767">
        <v>0</v>
      </c>
      <c r="BO767">
        <v>0</v>
      </c>
      <c r="BP767">
        <v>0</v>
      </c>
      <c r="BW767" t="str">
        <f>"13:56:52.664"</f>
        <v>13:56:52.664</v>
      </c>
      <c r="CJ767">
        <v>0</v>
      </c>
      <c r="CK767">
        <v>2</v>
      </c>
      <c r="CL767">
        <v>0</v>
      </c>
      <c r="CM767">
        <v>2</v>
      </c>
      <c r="CN767">
        <v>0</v>
      </c>
      <c r="CO767">
        <v>6</v>
      </c>
      <c r="CP767" t="s">
        <v>119</v>
      </c>
      <c r="CQ767">
        <v>209</v>
      </c>
      <c r="CR767">
        <v>3</v>
      </c>
      <c r="CW767">
        <v>7228536</v>
      </c>
      <c r="CY767">
        <v>1</v>
      </c>
      <c r="CZ767">
        <v>0</v>
      </c>
      <c r="DA767">
        <v>0</v>
      </c>
      <c r="DB767">
        <v>0</v>
      </c>
      <c r="DC767">
        <v>0</v>
      </c>
      <c r="DD767">
        <v>1</v>
      </c>
      <c r="DE767">
        <v>0</v>
      </c>
      <c r="DF767">
        <v>0</v>
      </c>
      <c r="DG767">
        <v>0</v>
      </c>
      <c r="DH767">
        <v>0</v>
      </c>
      <c r="DI767">
        <v>0</v>
      </c>
    </row>
    <row r="768" spans="1:113" x14ac:dyDescent="0.3">
      <c r="A768" t="str">
        <f>"09/28/2021 13:56:52.886"</f>
        <v>09/28/2021 13:56:52.886</v>
      </c>
      <c r="C768" t="str">
        <f t="shared" si="38"/>
        <v>FFDFD3C0</v>
      </c>
      <c r="D768" t="s">
        <v>113</v>
      </c>
      <c r="E768">
        <v>7</v>
      </c>
      <c r="H768">
        <v>170</v>
      </c>
      <c r="I768" t="s">
        <v>114</v>
      </c>
      <c r="J768" t="s">
        <v>115</v>
      </c>
      <c r="K768">
        <v>0</v>
      </c>
      <c r="L768">
        <v>3</v>
      </c>
      <c r="M768">
        <v>0</v>
      </c>
      <c r="N768">
        <v>2</v>
      </c>
      <c r="O768">
        <v>1</v>
      </c>
      <c r="P768">
        <v>0</v>
      </c>
      <c r="Q768">
        <v>0</v>
      </c>
      <c r="S768" t="str">
        <f>"13:56:52.664"</f>
        <v>13:56:52.664</v>
      </c>
      <c r="T768" t="str">
        <f>"13:56:52.164"</f>
        <v>13:56:52.164</v>
      </c>
      <c r="U768" t="str">
        <f t="shared" si="37"/>
        <v>A92BC1</v>
      </c>
      <c r="V768">
        <v>0</v>
      </c>
      <c r="W768">
        <v>0</v>
      </c>
      <c r="X768">
        <v>2</v>
      </c>
      <c r="Z768">
        <v>0</v>
      </c>
      <c r="AA768">
        <v>9</v>
      </c>
      <c r="AB768">
        <v>3</v>
      </c>
      <c r="AC768">
        <v>0</v>
      </c>
      <c r="AD768">
        <v>10</v>
      </c>
      <c r="AE768">
        <v>0</v>
      </c>
      <c r="AF768">
        <v>3</v>
      </c>
      <c r="AG768">
        <v>2</v>
      </c>
      <c r="AH768">
        <v>0</v>
      </c>
      <c r="AI768" t="s">
        <v>868</v>
      </c>
      <c r="AJ768">
        <v>45.814190000000004</v>
      </c>
      <c r="AK768" t="s">
        <v>869</v>
      </c>
      <c r="AL768">
        <v>-89.231987000000004</v>
      </c>
      <c r="AM768">
        <v>100</v>
      </c>
      <c r="AN768">
        <v>13300</v>
      </c>
      <c r="AO768" t="s">
        <v>118</v>
      </c>
      <c r="AP768">
        <v>149</v>
      </c>
      <c r="AQ768">
        <v>116</v>
      </c>
      <c r="AR768">
        <v>1472</v>
      </c>
      <c r="AZ768">
        <v>1200</v>
      </c>
      <c r="BA768">
        <v>1</v>
      </c>
      <c r="BB768" t="str">
        <f t="shared" si="39"/>
        <v xml:space="preserve">N690LS  </v>
      </c>
      <c r="BC768">
        <v>1</v>
      </c>
      <c r="BE768">
        <v>0</v>
      </c>
      <c r="BF768">
        <v>0</v>
      </c>
      <c r="BG768">
        <v>0</v>
      </c>
      <c r="BH768">
        <v>13750</v>
      </c>
      <c r="BI768">
        <v>1</v>
      </c>
      <c r="BJ768">
        <v>1</v>
      </c>
      <c r="BK768">
        <v>1</v>
      </c>
      <c r="BL768">
        <v>0</v>
      </c>
      <c r="BO768">
        <v>0</v>
      </c>
      <c r="BP768">
        <v>0</v>
      </c>
      <c r="BW768" t="str">
        <f>"13:56:52.664"</f>
        <v>13:56:52.664</v>
      </c>
      <c r="CJ768">
        <v>0</v>
      </c>
      <c r="CK768">
        <v>2</v>
      </c>
      <c r="CL768">
        <v>0</v>
      </c>
      <c r="CM768">
        <v>2</v>
      </c>
      <c r="CN768">
        <v>0</v>
      </c>
      <c r="CO768">
        <v>6</v>
      </c>
      <c r="CP768" t="s">
        <v>119</v>
      </c>
      <c r="CQ768">
        <v>209</v>
      </c>
      <c r="CR768">
        <v>3</v>
      </c>
      <c r="CW768">
        <v>7228536</v>
      </c>
      <c r="CY768">
        <v>1</v>
      </c>
      <c r="CZ768">
        <v>0</v>
      </c>
      <c r="DA768">
        <v>1</v>
      </c>
      <c r="DB768">
        <v>0</v>
      </c>
      <c r="DC768">
        <v>0</v>
      </c>
      <c r="DD768">
        <v>1</v>
      </c>
      <c r="DE768">
        <v>0</v>
      </c>
      <c r="DF768">
        <v>0</v>
      </c>
      <c r="DG768">
        <v>0</v>
      </c>
      <c r="DH768">
        <v>0</v>
      </c>
      <c r="DI768">
        <v>0</v>
      </c>
    </row>
    <row r="769" spans="1:113" x14ac:dyDescent="0.3">
      <c r="A769" t="str">
        <f>"09/28/2021 13:56:53.824"</f>
        <v>09/28/2021 13:56:53.824</v>
      </c>
      <c r="C769" t="str">
        <f t="shared" si="38"/>
        <v>FFDFD3C0</v>
      </c>
      <c r="D769" t="s">
        <v>113</v>
      </c>
      <c r="E769">
        <v>7</v>
      </c>
      <c r="H769">
        <v>170</v>
      </c>
      <c r="I769" t="s">
        <v>114</v>
      </c>
      <c r="J769" t="s">
        <v>115</v>
      </c>
      <c r="K769">
        <v>0</v>
      </c>
      <c r="L769">
        <v>3</v>
      </c>
      <c r="M769">
        <v>0</v>
      </c>
      <c r="N769">
        <v>2</v>
      </c>
      <c r="O769">
        <v>1</v>
      </c>
      <c r="P769">
        <v>0</v>
      </c>
      <c r="Q769">
        <v>0</v>
      </c>
      <c r="S769" t="str">
        <f>"13:56:53.609"</f>
        <v>13:56:53.609</v>
      </c>
      <c r="T769" t="str">
        <f>"13:56:53.209"</f>
        <v>13:56:53.209</v>
      </c>
      <c r="U769" t="str">
        <f t="shared" si="37"/>
        <v>A92BC1</v>
      </c>
      <c r="V769">
        <v>0</v>
      </c>
      <c r="W769">
        <v>0</v>
      </c>
      <c r="X769">
        <v>2</v>
      </c>
      <c r="Z769">
        <v>0</v>
      </c>
      <c r="AA769">
        <v>9</v>
      </c>
      <c r="AB769">
        <v>3</v>
      </c>
      <c r="AC769">
        <v>0</v>
      </c>
      <c r="AD769">
        <v>10</v>
      </c>
      <c r="AE769">
        <v>0</v>
      </c>
      <c r="AF769">
        <v>3</v>
      </c>
      <c r="AG769">
        <v>2</v>
      </c>
      <c r="AH769">
        <v>0</v>
      </c>
      <c r="AI769" t="s">
        <v>870</v>
      </c>
      <c r="AJ769">
        <v>45.814683000000002</v>
      </c>
      <c r="AK769" t="s">
        <v>871</v>
      </c>
      <c r="AL769">
        <v>-89.231086000000005</v>
      </c>
      <c r="AM769">
        <v>100</v>
      </c>
      <c r="AN769">
        <v>13300</v>
      </c>
      <c r="AO769" t="s">
        <v>118</v>
      </c>
      <c r="AP769">
        <v>149</v>
      </c>
      <c r="AQ769">
        <v>116</v>
      </c>
      <c r="AR769">
        <v>1472</v>
      </c>
      <c r="AZ769">
        <v>1200</v>
      </c>
      <c r="BA769">
        <v>1</v>
      </c>
      <c r="BB769" t="str">
        <f t="shared" si="39"/>
        <v xml:space="preserve">N690LS  </v>
      </c>
      <c r="BC769">
        <v>1</v>
      </c>
      <c r="BE769">
        <v>0</v>
      </c>
      <c r="BF769">
        <v>0</v>
      </c>
      <c r="BG769">
        <v>0</v>
      </c>
      <c r="BH769">
        <v>13775</v>
      </c>
      <c r="BI769">
        <v>1</v>
      </c>
      <c r="BJ769">
        <v>1</v>
      </c>
      <c r="BK769">
        <v>1</v>
      </c>
      <c r="BL769">
        <v>0</v>
      </c>
      <c r="BO769">
        <v>0</v>
      </c>
      <c r="BP769">
        <v>0</v>
      </c>
      <c r="BW769" t="str">
        <f>"13:56:53.615"</f>
        <v>13:56:53.615</v>
      </c>
      <c r="CJ769">
        <v>0</v>
      </c>
      <c r="CK769">
        <v>2</v>
      </c>
      <c r="CL769">
        <v>0</v>
      </c>
      <c r="CM769">
        <v>2</v>
      </c>
      <c r="CN769">
        <v>0</v>
      </c>
      <c r="CO769">
        <v>6</v>
      </c>
      <c r="CP769" t="s">
        <v>119</v>
      </c>
      <c r="CQ769">
        <v>210</v>
      </c>
      <c r="CR769">
        <v>2</v>
      </c>
      <c r="CW769">
        <v>2328846</v>
      </c>
      <c r="CY769">
        <v>1</v>
      </c>
      <c r="CZ769">
        <v>0</v>
      </c>
      <c r="DA769">
        <v>0</v>
      </c>
      <c r="DB769">
        <v>0</v>
      </c>
      <c r="DC769">
        <v>0</v>
      </c>
      <c r="DD769">
        <v>1</v>
      </c>
      <c r="DE769">
        <v>0</v>
      </c>
      <c r="DF769">
        <v>0</v>
      </c>
      <c r="DG769">
        <v>0</v>
      </c>
      <c r="DH769">
        <v>0</v>
      </c>
      <c r="DI769">
        <v>0</v>
      </c>
    </row>
    <row r="770" spans="1:113" x14ac:dyDescent="0.3">
      <c r="A770" t="str">
        <f>"09/28/2021 13:56:53.824"</f>
        <v>09/28/2021 13:56:53.824</v>
      </c>
      <c r="C770" t="str">
        <f t="shared" si="38"/>
        <v>FFDFD3C0</v>
      </c>
      <c r="D770" t="s">
        <v>120</v>
      </c>
      <c r="E770">
        <v>12</v>
      </c>
      <c r="F770">
        <v>1012</v>
      </c>
      <c r="G770" t="s">
        <v>114</v>
      </c>
      <c r="J770" t="s">
        <v>121</v>
      </c>
      <c r="K770">
        <v>0</v>
      </c>
      <c r="L770">
        <v>3</v>
      </c>
      <c r="M770">
        <v>0</v>
      </c>
      <c r="N770">
        <v>2</v>
      </c>
      <c r="O770">
        <v>1</v>
      </c>
      <c r="P770">
        <v>0</v>
      </c>
      <c r="Q770">
        <v>0</v>
      </c>
      <c r="S770" t="str">
        <f>"13:56:53.609"</f>
        <v>13:56:53.609</v>
      </c>
      <c r="T770" t="str">
        <f>"13:56:53.209"</f>
        <v>13:56:53.209</v>
      </c>
      <c r="U770" t="str">
        <f t="shared" ref="U770:U833" si="40">"A92BC1"</f>
        <v>A92BC1</v>
      </c>
      <c r="V770">
        <v>0</v>
      </c>
      <c r="W770">
        <v>0</v>
      </c>
      <c r="X770">
        <v>2</v>
      </c>
      <c r="Z770">
        <v>0</v>
      </c>
      <c r="AA770">
        <v>9</v>
      </c>
      <c r="AB770">
        <v>3</v>
      </c>
      <c r="AC770">
        <v>0</v>
      </c>
      <c r="AD770">
        <v>10</v>
      </c>
      <c r="AE770">
        <v>0</v>
      </c>
      <c r="AF770">
        <v>3</v>
      </c>
      <c r="AG770">
        <v>2</v>
      </c>
      <c r="AH770">
        <v>0</v>
      </c>
      <c r="AI770" t="s">
        <v>870</v>
      </c>
      <c r="AJ770">
        <v>45.814683000000002</v>
      </c>
      <c r="AK770" t="s">
        <v>871</v>
      </c>
      <c r="AL770">
        <v>-89.231086000000005</v>
      </c>
      <c r="AM770">
        <v>100</v>
      </c>
      <c r="AN770">
        <v>13300</v>
      </c>
      <c r="AO770" t="s">
        <v>118</v>
      </c>
      <c r="AP770">
        <v>149</v>
      </c>
      <c r="AQ770">
        <v>116</v>
      </c>
      <c r="AR770">
        <v>1472</v>
      </c>
      <c r="AZ770">
        <v>1200</v>
      </c>
      <c r="BA770">
        <v>1</v>
      </c>
      <c r="BB770" t="str">
        <f t="shared" si="39"/>
        <v xml:space="preserve">N690LS  </v>
      </c>
      <c r="BC770">
        <v>1</v>
      </c>
      <c r="BE770">
        <v>0</v>
      </c>
      <c r="BF770">
        <v>0</v>
      </c>
      <c r="BG770">
        <v>0</v>
      </c>
      <c r="BH770">
        <v>13775</v>
      </c>
      <c r="BI770">
        <v>1</v>
      </c>
      <c r="BJ770">
        <v>1</v>
      </c>
      <c r="BK770">
        <v>1</v>
      </c>
      <c r="BL770">
        <v>0</v>
      </c>
      <c r="BO770">
        <v>0</v>
      </c>
      <c r="BP770">
        <v>0</v>
      </c>
      <c r="BW770" t="str">
        <f>"13:56:53.615"</f>
        <v>13:56:53.615</v>
      </c>
      <c r="CJ770">
        <v>0</v>
      </c>
      <c r="CK770">
        <v>2</v>
      </c>
      <c r="CL770">
        <v>0</v>
      </c>
      <c r="CM770">
        <v>2</v>
      </c>
      <c r="CN770">
        <v>0</v>
      </c>
      <c r="CO770">
        <v>6</v>
      </c>
      <c r="CP770" t="s">
        <v>119</v>
      </c>
      <c r="CQ770">
        <v>210</v>
      </c>
      <c r="CR770">
        <v>2</v>
      </c>
      <c r="CW770">
        <v>2328846</v>
      </c>
      <c r="CY770">
        <v>1</v>
      </c>
      <c r="CZ770">
        <v>0</v>
      </c>
      <c r="DA770">
        <v>1</v>
      </c>
      <c r="DB770">
        <v>0</v>
      </c>
      <c r="DC770">
        <v>0</v>
      </c>
      <c r="DD770">
        <v>1</v>
      </c>
      <c r="DE770">
        <v>0</v>
      </c>
      <c r="DF770">
        <v>0</v>
      </c>
      <c r="DG770">
        <v>0</v>
      </c>
      <c r="DH770">
        <v>0</v>
      </c>
      <c r="DI770">
        <v>0</v>
      </c>
    </row>
    <row r="771" spans="1:113" x14ac:dyDescent="0.3">
      <c r="A771" t="str">
        <f>"09/28/2021 13:56:54.856"</f>
        <v>09/28/2021 13:56:54.856</v>
      </c>
      <c r="C771" t="str">
        <f t="shared" si="38"/>
        <v>FFDFD3C0</v>
      </c>
      <c r="D771" t="s">
        <v>120</v>
      </c>
      <c r="E771">
        <v>12</v>
      </c>
      <c r="F771">
        <v>1012</v>
      </c>
      <c r="G771" t="s">
        <v>114</v>
      </c>
      <c r="J771" t="s">
        <v>121</v>
      </c>
      <c r="K771">
        <v>0</v>
      </c>
      <c r="L771">
        <v>3</v>
      </c>
      <c r="M771">
        <v>0</v>
      </c>
      <c r="N771">
        <v>2</v>
      </c>
      <c r="O771">
        <v>1</v>
      </c>
      <c r="P771">
        <v>0</v>
      </c>
      <c r="Q771">
        <v>0</v>
      </c>
      <c r="S771" t="str">
        <f>"13:56:54.547"</f>
        <v>13:56:54.547</v>
      </c>
      <c r="T771" t="str">
        <f>"13:56:54.147"</f>
        <v>13:56:54.147</v>
      </c>
      <c r="U771" t="str">
        <f t="shared" si="40"/>
        <v>A92BC1</v>
      </c>
      <c r="V771">
        <v>0</v>
      </c>
      <c r="W771">
        <v>0</v>
      </c>
      <c r="X771">
        <v>2</v>
      </c>
      <c r="Z771">
        <v>0</v>
      </c>
      <c r="AA771">
        <v>9</v>
      </c>
      <c r="AB771">
        <v>3</v>
      </c>
      <c r="AC771">
        <v>0</v>
      </c>
      <c r="AD771">
        <v>10</v>
      </c>
      <c r="AE771">
        <v>0</v>
      </c>
      <c r="AF771">
        <v>3</v>
      </c>
      <c r="AG771">
        <v>2</v>
      </c>
      <c r="AH771">
        <v>0</v>
      </c>
      <c r="AI771" t="s">
        <v>872</v>
      </c>
      <c r="AJ771">
        <v>45.815241</v>
      </c>
      <c r="AK771" t="s">
        <v>873</v>
      </c>
      <c r="AL771">
        <v>-89.230076999999994</v>
      </c>
      <c r="AM771">
        <v>100</v>
      </c>
      <c r="AN771">
        <v>13400</v>
      </c>
      <c r="AO771" t="s">
        <v>118</v>
      </c>
      <c r="AP771">
        <v>149</v>
      </c>
      <c r="AQ771">
        <v>116</v>
      </c>
      <c r="AR771">
        <v>1472</v>
      </c>
      <c r="AZ771">
        <v>1200</v>
      </c>
      <c r="BA771">
        <v>1</v>
      </c>
      <c r="BB771" t="str">
        <f t="shared" si="39"/>
        <v xml:space="preserve">N690LS  </v>
      </c>
      <c r="BC771">
        <v>1</v>
      </c>
      <c r="BE771">
        <v>0</v>
      </c>
      <c r="BF771">
        <v>0</v>
      </c>
      <c r="BG771">
        <v>0</v>
      </c>
      <c r="BH771">
        <v>13800</v>
      </c>
      <c r="BI771">
        <v>1</v>
      </c>
      <c r="BJ771">
        <v>1</v>
      </c>
      <c r="BK771">
        <v>1</v>
      </c>
      <c r="BL771">
        <v>0</v>
      </c>
      <c r="BO771">
        <v>0</v>
      </c>
      <c r="BP771">
        <v>0</v>
      </c>
      <c r="BW771" t="str">
        <f>"13:56:54.550"</f>
        <v>13:56:54.550</v>
      </c>
      <c r="CJ771">
        <v>0</v>
      </c>
      <c r="CK771">
        <v>2</v>
      </c>
      <c r="CL771">
        <v>0</v>
      </c>
      <c r="CM771">
        <v>2</v>
      </c>
      <c r="CN771">
        <v>0</v>
      </c>
      <c r="CO771">
        <v>6</v>
      </c>
      <c r="CP771" t="s">
        <v>119</v>
      </c>
      <c r="CQ771">
        <v>209</v>
      </c>
      <c r="CR771">
        <v>3</v>
      </c>
      <c r="CW771">
        <v>7229138</v>
      </c>
      <c r="CY771">
        <v>1</v>
      </c>
      <c r="CZ771">
        <v>0</v>
      </c>
      <c r="DA771">
        <v>0</v>
      </c>
      <c r="DB771">
        <v>0</v>
      </c>
      <c r="DC771">
        <v>0</v>
      </c>
      <c r="DD771">
        <v>1</v>
      </c>
      <c r="DE771">
        <v>0</v>
      </c>
      <c r="DF771">
        <v>0</v>
      </c>
      <c r="DG771">
        <v>0</v>
      </c>
      <c r="DH771">
        <v>0</v>
      </c>
      <c r="DI771">
        <v>0</v>
      </c>
    </row>
    <row r="772" spans="1:113" x14ac:dyDescent="0.3">
      <c r="A772" t="str">
        <f>"09/28/2021 13:56:54.856"</f>
        <v>09/28/2021 13:56:54.856</v>
      </c>
      <c r="C772" t="str">
        <f t="shared" si="38"/>
        <v>FFDFD3C0</v>
      </c>
      <c r="D772" t="s">
        <v>113</v>
      </c>
      <c r="E772">
        <v>7</v>
      </c>
      <c r="H772">
        <v>170</v>
      </c>
      <c r="I772" t="s">
        <v>114</v>
      </c>
      <c r="J772" t="s">
        <v>115</v>
      </c>
      <c r="K772">
        <v>0</v>
      </c>
      <c r="L772">
        <v>3</v>
      </c>
      <c r="M772">
        <v>0</v>
      </c>
      <c r="N772">
        <v>2</v>
      </c>
      <c r="O772">
        <v>1</v>
      </c>
      <c r="P772">
        <v>0</v>
      </c>
      <c r="Q772">
        <v>0</v>
      </c>
      <c r="S772" t="str">
        <f>"13:56:54.547"</f>
        <v>13:56:54.547</v>
      </c>
      <c r="T772" t="str">
        <f>"13:56:54.147"</f>
        <v>13:56:54.147</v>
      </c>
      <c r="U772" t="str">
        <f t="shared" si="40"/>
        <v>A92BC1</v>
      </c>
      <c r="V772">
        <v>0</v>
      </c>
      <c r="W772">
        <v>0</v>
      </c>
      <c r="X772">
        <v>2</v>
      </c>
      <c r="Z772">
        <v>0</v>
      </c>
      <c r="AA772">
        <v>9</v>
      </c>
      <c r="AB772">
        <v>3</v>
      </c>
      <c r="AC772">
        <v>0</v>
      </c>
      <c r="AD772">
        <v>10</v>
      </c>
      <c r="AE772">
        <v>0</v>
      </c>
      <c r="AF772">
        <v>3</v>
      </c>
      <c r="AG772">
        <v>2</v>
      </c>
      <c r="AH772">
        <v>0</v>
      </c>
      <c r="AI772" t="s">
        <v>872</v>
      </c>
      <c r="AJ772">
        <v>45.815241</v>
      </c>
      <c r="AK772" t="s">
        <v>873</v>
      </c>
      <c r="AL772">
        <v>-89.230076999999994</v>
      </c>
      <c r="AM772">
        <v>100</v>
      </c>
      <c r="AN772">
        <v>13400</v>
      </c>
      <c r="AO772" t="s">
        <v>118</v>
      </c>
      <c r="AP772">
        <v>149</v>
      </c>
      <c r="AQ772">
        <v>116</v>
      </c>
      <c r="AR772">
        <v>1472</v>
      </c>
      <c r="AZ772">
        <v>1200</v>
      </c>
      <c r="BA772">
        <v>1</v>
      </c>
      <c r="BB772" t="str">
        <f t="shared" si="39"/>
        <v xml:space="preserve">N690LS  </v>
      </c>
      <c r="BC772">
        <v>1</v>
      </c>
      <c r="BE772">
        <v>0</v>
      </c>
      <c r="BF772">
        <v>0</v>
      </c>
      <c r="BG772">
        <v>0</v>
      </c>
      <c r="BH772">
        <v>13800</v>
      </c>
      <c r="BI772">
        <v>1</v>
      </c>
      <c r="BJ772">
        <v>1</v>
      </c>
      <c r="BK772">
        <v>1</v>
      </c>
      <c r="BL772">
        <v>0</v>
      </c>
      <c r="BO772">
        <v>0</v>
      </c>
      <c r="BP772">
        <v>0</v>
      </c>
      <c r="BW772" t="str">
        <f>"13:56:54.550"</f>
        <v>13:56:54.550</v>
      </c>
      <c r="CJ772">
        <v>0</v>
      </c>
      <c r="CK772">
        <v>2</v>
      </c>
      <c r="CL772">
        <v>0</v>
      </c>
      <c r="CM772">
        <v>2</v>
      </c>
      <c r="CN772">
        <v>0</v>
      </c>
      <c r="CO772">
        <v>6</v>
      </c>
      <c r="CP772" t="s">
        <v>119</v>
      </c>
      <c r="CQ772">
        <v>209</v>
      </c>
      <c r="CR772">
        <v>3</v>
      </c>
      <c r="CW772">
        <v>7229138</v>
      </c>
      <c r="CY772">
        <v>1</v>
      </c>
      <c r="CZ772">
        <v>0</v>
      </c>
      <c r="DA772">
        <v>1</v>
      </c>
      <c r="DB772">
        <v>0</v>
      </c>
      <c r="DC772">
        <v>0</v>
      </c>
      <c r="DD772">
        <v>1</v>
      </c>
      <c r="DE772">
        <v>0</v>
      </c>
      <c r="DF772">
        <v>0</v>
      </c>
      <c r="DG772">
        <v>0</v>
      </c>
      <c r="DH772">
        <v>0</v>
      </c>
      <c r="DI772">
        <v>0</v>
      </c>
    </row>
    <row r="773" spans="1:113" x14ac:dyDescent="0.3">
      <c r="A773" t="str">
        <f>"09/28/2021 13:56:55.887"</f>
        <v>09/28/2021 13:56:55.887</v>
      </c>
      <c r="C773" t="str">
        <f t="shared" si="38"/>
        <v>FFDFD3C0</v>
      </c>
      <c r="D773" t="s">
        <v>113</v>
      </c>
      <c r="E773">
        <v>7</v>
      </c>
      <c r="H773">
        <v>170</v>
      </c>
      <c r="I773" t="s">
        <v>114</v>
      </c>
      <c r="J773" t="s">
        <v>115</v>
      </c>
      <c r="K773">
        <v>0</v>
      </c>
      <c r="L773">
        <v>3</v>
      </c>
      <c r="M773">
        <v>0</v>
      </c>
      <c r="N773">
        <v>2</v>
      </c>
      <c r="O773">
        <v>1</v>
      </c>
      <c r="P773">
        <v>0</v>
      </c>
      <c r="Q773">
        <v>0</v>
      </c>
      <c r="S773" t="str">
        <f>"13:56:55.672"</f>
        <v>13:56:55.672</v>
      </c>
      <c r="T773" t="str">
        <f>"13:56:55.172"</f>
        <v>13:56:55.172</v>
      </c>
      <c r="U773" t="str">
        <f t="shared" si="40"/>
        <v>A92BC1</v>
      </c>
      <c r="V773">
        <v>0</v>
      </c>
      <c r="W773">
        <v>0</v>
      </c>
      <c r="X773">
        <v>2</v>
      </c>
      <c r="Z773">
        <v>0</v>
      </c>
      <c r="AA773">
        <v>9</v>
      </c>
      <c r="AB773">
        <v>3</v>
      </c>
      <c r="AC773">
        <v>0</v>
      </c>
      <c r="AD773">
        <v>10</v>
      </c>
      <c r="AE773">
        <v>0</v>
      </c>
      <c r="AF773">
        <v>3</v>
      </c>
      <c r="AG773">
        <v>2</v>
      </c>
      <c r="AH773">
        <v>0</v>
      </c>
      <c r="AI773" t="s">
        <v>874</v>
      </c>
      <c r="AJ773">
        <v>45.815778000000002</v>
      </c>
      <c r="AK773" t="s">
        <v>875</v>
      </c>
      <c r="AL773">
        <v>-89.229026000000005</v>
      </c>
      <c r="AM773">
        <v>100</v>
      </c>
      <c r="AN773">
        <v>13400</v>
      </c>
      <c r="AO773" t="s">
        <v>118</v>
      </c>
      <c r="AP773">
        <v>149</v>
      </c>
      <c r="AQ773">
        <v>117</v>
      </c>
      <c r="AR773">
        <v>1472</v>
      </c>
      <c r="AZ773">
        <v>1200</v>
      </c>
      <c r="BA773">
        <v>1</v>
      </c>
      <c r="BB773" t="str">
        <f t="shared" si="39"/>
        <v xml:space="preserve">N690LS  </v>
      </c>
      <c r="BC773">
        <v>1</v>
      </c>
      <c r="BE773">
        <v>0</v>
      </c>
      <c r="BF773">
        <v>0</v>
      </c>
      <c r="BG773">
        <v>0</v>
      </c>
      <c r="BH773">
        <v>13825</v>
      </c>
      <c r="BI773">
        <v>1</v>
      </c>
      <c r="BJ773">
        <v>1</v>
      </c>
      <c r="BK773">
        <v>1</v>
      </c>
      <c r="BL773">
        <v>0</v>
      </c>
      <c r="BO773">
        <v>0</v>
      </c>
      <c r="BP773">
        <v>0</v>
      </c>
      <c r="BW773" t="str">
        <f>"13:56:55.674"</f>
        <v>13:56:55.674</v>
      </c>
      <c r="CJ773">
        <v>0</v>
      </c>
      <c r="CK773">
        <v>2</v>
      </c>
      <c r="CL773">
        <v>0</v>
      </c>
      <c r="CM773">
        <v>2</v>
      </c>
      <c r="CN773">
        <v>0</v>
      </c>
      <c r="CO773">
        <v>6</v>
      </c>
      <c r="CP773" t="s">
        <v>119</v>
      </c>
      <c r="CQ773">
        <v>209</v>
      </c>
      <c r="CR773">
        <v>3</v>
      </c>
      <c r="CW773">
        <v>7229530</v>
      </c>
      <c r="CY773">
        <v>1</v>
      </c>
      <c r="CZ773">
        <v>0</v>
      </c>
      <c r="DA773">
        <v>0</v>
      </c>
      <c r="DB773">
        <v>0</v>
      </c>
      <c r="DC773">
        <v>0</v>
      </c>
      <c r="DD773">
        <v>1</v>
      </c>
      <c r="DE773">
        <v>0</v>
      </c>
      <c r="DF773">
        <v>0</v>
      </c>
      <c r="DG773">
        <v>0</v>
      </c>
      <c r="DH773">
        <v>0</v>
      </c>
      <c r="DI773">
        <v>0</v>
      </c>
    </row>
    <row r="774" spans="1:113" x14ac:dyDescent="0.3">
      <c r="A774" t="str">
        <f>"09/28/2021 13:56:55.887"</f>
        <v>09/28/2021 13:56:55.887</v>
      </c>
      <c r="C774" t="str">
        <f t="shared" si="38"/>
        <v>FFDFD3C0</v>
      </c>
      <c r="D774" t="s">
        <v>120</v>
      </c>
      <c r="E774">
        <v>12</v>
      </c>
      <c r="F774">
        <v>1012</v>
      </c>
      <c r="G774" t="s">
        <v>114</v>
      </c>
      <c r="J774" t="s">
        <v>121</v>
      </c>
      <c r="K774">
        <v>0</v>
      </c>
      <c r="L774">
        <v>3</v>
      </c>
      <c r="M774">
        <v>0</v>
      </c>
      <c r="N774">
        <v>2</v>
      </c>
      <c r="O774">
        <v>1</v>
      </c>
      <c r="P774">
        <v>0</v>
      </c>
      <c r="Q774">
        <v>0</v>
      </c>
      <c r="S774" t="str">
        <f>"13:56:55.672"</f>
        <v>13:56:55.672</v>
      </c>
      <c r="T774" t="str">
        <f>"13:56:55.172"</f>
        <v>13:56:55.172</v>
      </c>
      <c r="U774" t="str">
        <f t="shared" si="40"/>
        <v>A92BC1</v>
      </c>
      <c r="V774">
        <v>0</v>
      </c>
      <c r="W774">
        <v>0</v>
      </c>
      <c r="X774">
        <v>2</v>
      </c>
      <c r="Z774">
        <v>0</v>
      </c>
      <c r="AA774">
        <v>9</v>
      </c>
      <c r="AB774">
        <v>3</v>
      </c>
      <c r="AC774">
        <v>0</v>
      </c>
      <c r="AD774">
        <v>10</v>
      </c>
      <c r="AE774">
        <v>0</v>
      </c>
      <c r="AF774">
        <v>3</v>
      </c>
      <c r="AG774">
        <v>2</v>
      </c>
      <c r="AH774">
        <v>0</v>
      </c>
      <c r="AI774" t="s">
        <v>874</v>
      </c>
      <c r="AJ774">
        <v>45.815778000000002</v>
      </c>
      <c r="AK774" t="s">
        <v>875</v>
      </c>
      <c r="AL774">
        <v>-89.229026000000005</v>
      </c>
      <c r="AM774">
        <v>100</v>
      </c>
      <c r="AN774">
        <v>13400</v>
      </c>
      <c r="AO774" t="s">
        <v>118</v>
      </c>
      <c r="AP774">
        <v>149</v>
      </c>
      <c r="AQ774">
        <v>117</v>
      </c>
      <c r="AR774">
        <v>1472</v>
      </c>
      <c r="AZ774">
        <v>1200</v>
      </c>
      <c r="BA774">
        <v>1</v>
      </c>
      <c r="BB774" t="str">
        <f t="shared" si="39"/>
        <v xml:space="preserve">N690LS  </v>
      </c>
      <c r="BC774">
        <v>1</v>
      </c>
      <c r="BE774">
        <v>0</v>
      </c>
      <c r="BF774">
        <v>0</v>
      </c>
      <c r="BG774">
        <v>0</v>
      </c>
      <c r="BH774">
        <v>13825</v>
      </c>
      <c r="BI774">
        <v>1</v>
      </c>
      <c r="BJ774">
        <v>1</v>
      </c>
      <c r="BK774">
        <v>1</v>
      </c>
      <c r="BL774">
        <v>0</v>
      </c>
      <c r="BO774">
        <v>0</v>
      </c>
      <c r="BP774">
        <v>0</v>
      </c>
      <c r="BW774" t="str">
        <f>"13:56:55.674"</f>
        <v>13:56:55.674</v>
      </c>
      <c r="CJ774">
        <v>0</v>
      </c>
      <c r="CK774">
        <v>2</v>
      </c>
      <c r="CL774">
        <v>0</v>
      </c>
      <c r="CM774">
        <v>2</v>
      </c>
      <c r="CN774">
        <v>0</v>
      </c>
      <c r="CO774">
        <v>6</v>
      </c>
      <c r="CP774" t="s">
        <v>119</v>
      </c>
      <c r="CQ774">
        <v>209</v>
      </c>
      <c r="CR774">
        <v>3</v>
      </c>
      <c r="CW774">
        <v>7229530</v>
      </c>
      <c r="CY774">
        <v>1</v>
      </c>
      <c r="CZ774">
        <v>0</v>
      </c>
      <c r="DA774">
        <v>1</v>
      </c>
      <c r="DB774">
        <v>0</v>
      </c>
      <c r="DC774">
        <v>0</v>
      </c>
      <c r="DD774">
        <v>1</v>
      </c>
      <c r="DE774">
        <v>0</v>
      </c>
      <c r="DF774">
        <v>0</v>
      </c>
      <c r="DG774">
        <v>0</v>
      </c>
      <c r="DH774">
        <v>0</v>
      </c>
      <c r="DI774">
        <v>0</v>
      </c>
    </row>
    <row r="775" spans="1:113" x14ac:dyDescent="0.3">
      <c r="A775" t="str">
        <f>"09/28/2021 13:56:56.792"</f>
        <v>09/28/2021 13:56:56.792</v>
      </c>
      <c r="C775" t="str">
        <f t="shared" si="38"/>
        <v>FFDFD3C0</v>
      </c>
      <c r="D775" t="s">
        <v>113</v>
      </c>
      <c r="E775">
        <v>7</v>
      </c>
      <c r="H775">
        <v>170</v>
      </c>
      <c r="I775" t="s">
        <v>114</v>
      </c>
      <c r="J775" t="s">
        <v>115</v>
      </c>
      <c r="K775">
        <v>0</v>
      </c>
      <c r="L775">
        <v>3</v>
      </c>
      <c r="M775">
        <v>0</v>
      </c>
      <c r="N775">
        <v>2</v>
      </c>
      <c r="O775">
        <v>1</v>
      </c>
      <c r="P775">
        <v>0</v>
      </c>
      <c r="Q775">
        <v>0</v>
      </c>
      <c r="S775" t="str">
        <f>"13:56:56.586"</f>
        <v>13:56:56.586</v>
      </c>
      <c r="T775" t="str">
        <f>"13:56:56.086"</f>
        <v>13:56:56.086</v>
      </c>
      <c r="U775" t="str">
        <f t="shared" si="40"/>
        <v>A92BC1</v>
      </c>
      <c r="V775">
        <v>0</v>
      </c>
      <c r="W775">
        <v>0</v>
      </c>
      <c r="X775">
        <v>2</v>
      </c>
      <c r="Z775">
        <v>0</v>
      </c>
      <c r="AA775">
        <v>9</v>
      </c>
      <c r="AB775">
        <v>3</v>
      </c>
      <c r="AC775">
        <v>0</v>
      </c>
      <c r="AD775">
        <v>10</v>
      </c>
      <c r="AE775">
        <v>0</v>
      </c>
      <c r="AF775">
        <v>3</v>
      </c>
      <c r="AG775">
        <v>2</v>
      </c>
      <c r="AH775">
        <v>0</v>
      </c>
      <c r="AI775" t="s">
        <v>876</v>
      </c>
      <c r="AJ775">
        <v>45.816293000000002</v>
      </c>
      <c r="AK775" t="s">
        <v>877</v>
      </c>
      <c r="AL775">
        <v>-89.228145999999995</v>
      </c>
      <c r="AM775">
        <v>100</v>
      </c>
      <c r="AN775">
        <v>13400</v>
      </c>
      <c r="AO775" t="s">
        <v>118</v>
      </c>
      <c r="AP775">
        <v>148</v>
      </c>
      <c r="AQ775">
        <v>117</v>
      </c>
      <c r="AR775">
        <v>1472</v>
      </c>
      <c r="AZ775">
        <v>1200</v>
      </c>
      <c r="BA775">
        <v>1</v>
      </c>
      <c r="BB775" t="str">
        <f t="shared" si="39"/>
        <v xml:space="preserve">N690LS  </v>
      </c>
      <c r="BC775">
        <v>1</v>
      </c>
      <c r="BE775">
        <v>0</v>
      </c>
      <c r="BF775">
        <v>0</v>
      </c>
      <c r="BG775">
        <v>0</v>
      </c>
      <c r="BH775">
        <v>13850</v>
      </c>
      <c r="BI775">
        <v>1</v>
      </c>
      <c r="BJ775">
        <v>1</v>
      </c>
      <c r="BK775">
        <v>1</v>
      </c>
      <c r="BL775">
        <v>0</v>
      </c>
      <c r="BO775">
        <v>0</v>
      </c>
      <c r="BP775">
        <v>0</v>
      </c>
      <c r="BW775" t="str">
        <f>"13:56:56.588"</f>
        <v>13:56:56.588</v>
      </c>
      <c r="CJ775">
        <v>0</v>
      </c>
      <c r="CK775">
        <v>2</v>
      </c>
      <c r="CL775">
        <v>0</v>
      </c>
      <c r="CM775">
        <v>2</v>
      </c>
      <c r="CN775">
        <v>0</v>
      </c>
      <c r="CO775">
        <v>6</v>
      </c>
      <c r="CP775" t="s">
        <v>119</v>
      </c>
      <c r="CQ775">
        <v>209</v>
      </c>
      <c r="CR775">
        <v>3</v>
      </c>
      <c r="CW775">
        <v>7229829</v>
      </c>
      <c r="CY775">
        <v>1</v>
      </c>
      <c r="CZ775">
        <v>0</v>
      </c>
      <c r="DA775">
        <v>0</v>
      </c>
      <c r="DB775">
        <v>0</v>
      </c>
      <c r="DC775">
        <v>0</v>
      </c>
      <c r="DD775">
        <v>1</v>
      </c>
      <c r="DE775">
        <v>0</v>
      </c>
      <c r="DF775">
        <v>0</v>
      </c>
      <c r="DG775">
        <v>0</v>
      </c>
      <c r="DH775">
        <v>0</v>
      </c>
      <c r="DI775">
        <v>0</v>
      </c>
    </row>
    <row r="776" spans="1:113" x14ac:dyDescent="0.3">
      <c r="A776" t="str">
        <f>"09/28/2021 13:56:56.823"</f>
        <v>09/28/2021 13:56:56.823</v>
      </c>
      <c r="C776" t="str">
        <f t="shared" si="38"/>
        <v>FFDFD3C0</v>
      </c>
      <c r="D776" t="s">
        <v>120</v>
      </c>
      <c r="E776">
        <v>12</v>
      </c>
      <c r="F776">
        <v>1012</v>
      </c>
      <c r="G776" t="s">
        <v>114</v>
      </c>
      <c r="J776" t="s">
        <v>121</v>
      </c>
      <c r="K776">
        <v>0</v>
      </c>
      <c r="L776">
        <v>3</v>
      </c>
      <c r="M776">
        <v>0</v>
      </c>
      <c r="N776">
        <v>2</v>
      </c>
      <c r="O776">
        <v>1</v>
      </c>
      <c r="P776">
        <v>0</v>
      </c>
      <c r="Q776">
        <v>0</v>
      </c>
      <c r="S776" t="str">
        <f>"13:56:56.586"</f>
        <v>13:56:56.586</v>
      </c>
      <c r="T776" t="str">
        <f>"13:56:56.086"</f>
        <v>13:56:56.086</v>
      </c>
      <c r="U776" t="str">
        <f t="shared" si="40"/>
        <v>A92BC1</v>
      </c>
      <c r="V776">
        <v>0</v>
      </c>
      <c r="W776">
        <v>0</v>
      </c>
      <c r="X776">
        <v>2</v>
      </c>
      <c r="Z776">
        <v>0</v>
      </c>
      <c r="AA776">
        <v>9</v>
      </c>
      <c r="AB776">
        <v>3</v>
      </c>
      <c r="AC776">
        <v>0</v>
      </c>
      <c r="AD776">
        <v>10</v>
      </c>
      <c r="AE776">
        <v>0</v>
      </c>
      <c r="AF776">
        <v>3</v>
      </c>
      <c r="AG776">
        <v>2</v>
      </c>
      <c r="AH776">
        <v>0</v>
      </c>
      <c r="AI776" t="s">
        <v>876</v>
      </c>
      <c r="AJ776">
        <v>45.816293000000002</v>
      </c>
      <c r="AK776" t="s">
        <v>877</v>
      </c>
      <c r="AL776">
        <v>-89.228145999999995</v>
      </c>
      <c r="AM776">
        <v>100</v>
      </c>
      <c r="AN776">
        <v>13400</v>
      </c>
      <c r="AO776" t="s">
        <v>118</v>
      </c>
      <c r="AP776">
        <v>148</v>
      </c>
      <c r="AQ776">
        <v>117</v>
      </c>
      <c r="AR776">
        <v>1472</v>
      </c>
      <c r="AZ776">
        <v>1200</v>
      </c>
      <c r="BA776">
        <v>1</v>
      </c>
      <c r="BB776" t="str">
        <f t="shared" si="39"/>
        <v xml:space="preserve">N690LS  </v>
      </c>
      <c r="BC776">
        <v>1</v>
      </c>
      <c r="BE776">
        <v>0</v>
      </c>
      <c r="BF776">
        <v>0</v>
      </c>
      <c r="BG776">
        <v>0</v>
      </c>
      <c r="BH776">
        <v>13850</v>
      </c>
      <c r="BI776">
        <v>1</v>
      </c>
      <c r="BJ776">
        <v>1</v>
      </c>
      <c r="BK776">
        <v>1</v>
      </c>
      <c r="BL776">
        <v>0</v>
      </c>
      <c r="BO776">
        <v>0</v>
      </c>
      <c r="BP776">
        <v>0</v>
      </c>
      <c r="BW776" t="str">
        <f>"13:56:56.588"</f>
        <v>13:56:56.588</v>
      </c>
      <c r="CJ776">
        <v>0</v>
      </c>
      <c r="CK776">
        <v>2</v>
      </c>
      <c r="CL776">
        <v>0</v>
      </c>
      <c r="CM776">
        <v>2</v>
      </c>
      <c r="CN776">
        <v>0</v>
      </c>
      <c r="CO776">
        <v>6</v>
      </c>
      <c r="CP776" t="s">
        <v>119</v>
      </c>
      <c r="CQ776">
        <v>209</v>
      </c>
      <c r="CR776">
        <v>3</v>
      </c>
      <c r="CW776">
        <v>7229829</v>
      </c>
      <c r="CY776">
        <v>1</v>
      </c>
      <c r="CZ776">
        <v>0</v>
      </c>
      <c r="DA776">
        <v>1</v>
      </c>
      <c r="DB776">
        <v>0</v>
      </c>
      <c r="DC776">
        <v>0</v>
      </c>
      <c r="DD776">
        <v>1</v>
      </c>
      <c r="DE776">
        <v>0</v>
      </c>
      <c r="DF776">
        <v>0</v>
      </c>
      <c r="DG776">
        <v>0</v>
      </c>
      <c r="DH776">
        <v>0</v>
      </c>
      <c r="DI776">
        <v>0</v>
      </c>
    </row>
    <row r="777" spans="1:113" x14ac:dyDescent="0.3">
      <c r="A777" t="str">
        <f>"09/28/2021 13:56:57.745"</f>
        <v>09/28/2021 13:56:57.745</v>
      </c>
      <c r="C777" t="str">
        <f t="shared" si="38"/>
        <v>FFDFD3C0</v>
      </c>
      <c r="D777" t="s">
        <v>120</v>
      </c>
      <c r="E777">
        <v>12</v>
      </c>
      <c r="F777">
        <v>1012</v>
      </c>
      <c r="G777" t="s">
        <v>114</v>
      </c>
      <c r="J777" t="s">
        <v>121</v>
      </c>
      <c r="K777">
        <v>0</v>
      </c>
      <c r="L777">
        <v>3</v>
      </c>
      <c r="M777">
        <v>0</v>
      </c>
      <c r="N777">
        <v>2</v>
      </c>
      <c r="O777">
        <v>1</v>
      </c>
      <c r="P777">
        <v>0</v>
      </c>
      <c r="Q777">
        <v>0</v>
      </c>
      <c r="S777" t="str">
        <f>"13:56:57.539"</f>
        <v>13:56:57.539</v>
      </c>
      <c r="T777" t="str">
        <f>"13:56:57.039"</f>
        <v>13:56:57.039</v>
      </c>
      <c r="U777" t="str">
        <f t="shared" si="40"/>
        <v>A92BC1</v>
      </c>
      <c r="V777">
        <v>0</v>
      </c>
      <c r="W777">
        <v>0</v>
      </c>
      <c r="X777">
        <v>2</v>
      </c>
      <c r="Z777">
        <v>0</v>
      </c>
      <c r="AA777">
        <v>9</v>
      </c>
      <c r="AB777">
        <v>3</v>
      </c>
      <c r="AC777">
        <v>0</v>
      </c>
      <c r="AD777">
        <v>10</v>
      </c>
      <c r="AE777">
        <v>0</v>
      </c>
      <c r="AF777">
        <v>3</v>
      </c>
      <c r="AG777">
        <v>2</v>
      </c>
      <c r="AH777">
        <v>0</v>
      </c>
      <c r="AI777" t="s">
        <v>878</v>
      </c>
      <c r="AJ777">
        <v>45.816828999999998</v>
      </c>
      <c r="AK777" t="s">
        <v>879</v>
      </c>
      <c r="AL777">
        <v>-89.227137999999997</v>
      </c>
      <c r="AM777">
        <v>100</v>
      </c>
      <c r="AN777">
        <v>13400</v>
      </c>
      <c r="AO777" t="s">
        <v>118</v>
      </c>
      <c r="AP777">
        <v>148</v>
      </c>
      <c r="AQ777">
        <v>117</v>
      </c>
      <c r="AR777">
        <v>1472</v>
      </c>
      <c r="AZ777">
        <v>1200</v>
      </c>
      <c r="BA777">
        <v>1</v>
      </c>
      <c r="BB777" t="str">
        <f t="shared" si="39"/>
        <v xml:space="preserve">N690LS  </v>
      </c>
      <c r="BC777">
        <v>1</v>
      </c>
      <c r="BE777">
        <v>0</v>
      </c>
      <c r="BF777">
        <v>0</v>
      </c>
      <c r="BG777">
        <v>0</v>
      </c>
      <c r="BH777">
        <v>13875</v>
      </c>
      <c r="BI777">
        <v>1</v>
      </c>
      <c r="BJ777">
        <v>1</v>
      </c>
      <c r="BK777">
        <v>1</v>
      </c>
      <c r="BL777">
        <v>0</v>
      </c>
      <c r="BO777">
        <v>0</v>
      </c>
      <c r="BP777">
        <v>0</v>
      </c>
      <c r="BW777" t="str">
        <f>"13:56:57.545"</f>
        <v>13:56:57.545</v>
      </c>
      <c r="CJ777">
        <v>0</v>
      </c>
      <c r="CK777">
        <v>2</v>
      </c>
      <c r="CL777">
        <v>0</v>
      </c>
      <c r="CM777">
        <v>2</v>
      </c>
      <c r="CN777">
        <v>0</v>
      </c>
      <c r="CO777">
        <v>6</v>
      </c>
      <c r="CP777" t="s">
        <v>119</v>
      </c>
      <c r="CQ777">
        <v>209</v>
      </c>
      <c r="CR777">
        <v>3</v>
      </c>
      <c r="CW777">
        <v>7230161</v>
      </c>
      <c r="CY777">
        <v>1</v>
      </c>
      <c r="CZ777">
        <v>0</v>
      </c>
      <c r="DA777">
        <v>0</v>
      </c>
      <c r="DB777">
        <v>0</v>
      </c>
      <c r="DC777">
        <v>0</v>
      </c>
      <c r="DD777">
        <v>1</v>
      </c>
      <c r="DE777">
        <v>0</v>
      </c>
      <c r="DF777">
        <v>0</v>
      </c>
      <c r="DG777">
        <v>0</v>
      </c>
      <c r="DH777">
        <v>0</v>
      </c>
      <c r="DI777">
        <v>0</v>
      </c>
    </row>
    <row r="778" spans="1:113" x14ac:dyDescent="0.3">
      <c r="A778" t="str">
        <f>"09/28/2021 13:56:57.808"</f>
        <v>09/28/2021 13:56:57.808</v>
      </c>
      <c r="C778" t="str">
        <f t="shared" si="38"/>
        <v>FFDFD3C0</v>
      </c>
      <c r="D778" t="s">
        <v>113</v>
      </c>
      <c r="E778">
        <v>7</v>
      </c>
      <c r="H778">
        <v>170</v>
      </c>
      <c r="I778" t="s">
        <v>114</v>
      </c>
      <c r="J778" t="s">
        <v>115</v>
      </c>
      <c r="K778">
        <v>0</v>
      </c>
      <c r="L778">
        <v>3</v>
      </c>
      <c r="M778">
        <v>0</v>
      </c>
      <c r="N778">
        <v>2</v>
      </c>
      <c r="O778">
        <v>1</v>
      </c>
      <c r="P778">
        <v>0</v>
      </c>
      <c r="Q778">
        <v>0</v>
      </c>
      <c r="S778" t="str">
        <f>"13:56:57.539"</f>
        <v>13:56:57.539</v>
      </c>
      <c r="T778" t="str">
        <f>"13:56:57.039"</f>
        <v>13:56:57.039</v>
      </c>
      <c r="U778" t="str">
        <f t="shared" si="40"/>
        <v>A92BC1</v>
      </c>
      <c r="V778">
        <v>0</v>
      </c>
      <c r="W778">
        <v>0</v>
      </c>
      <c r="X778">
        <v>2</v>
      </c>
      <c r="Z778">
        <v>0</v>
      </c>
      <c r="AA778">
        <v>9</v>
      </c>
      <c r="AB778">
        <v>3</v>
      </c>
      <c r="AC778">
        <v>0</v>
      </c>
      <c r="AD778">
        <v>10</v>
      </c>
      <c r="AE778">
        <v>0</v>
      </c>
      <c r="AF778">
        <v>3</v>
      </c>
      <c r="AG778">
        <v>2</v>
      </c>
      <c r="AH778">
        <v>0</v>
      </c>
      <c r="AI778" t="s">
        <v>878</v>
      </c>
      <c r="AJ778">
        <v>45.816828999999998</v>
      </c>
      <c r="AK778" t="s">
        <v>879</v>
      </c>
      <c r="AL778">
        <v>-89.227137999999997</v>
      </c>
      <c r="AM778">
        <v>100</v>
      </c>
      <c r="AN778">
        <v>13400</v>
      </c>
      <c r="AO778" t="s">
        <v>118</v>
      </c>
      <c r="AP778">
        <v>148</v>
      </c>
      <c r="AQ778">
        <v>117</v>
      </c>
      <c r="AR778">
        <v>1472</v>
      </c>
      <c r="AZ778">
        <v>1200</v>
      </c>
      <c r="BA778">
        <v>1</v>
      </c>
      <c r="BB778" t="str">
        <f t="shared" si="39"/>
        <v xml:space="preserve">N690LS  </v>
      </c>
      <c r="BC778">
        <v>1</v>
      </c>
      <c r="BE778">
        <v>0</v>
      </c>
      <c r="BF778">
        <v>0</v>
      </c>
      <c r="BG778">
        <v>0</v>
      </c>
      <c r="BH778">
        <v>13875</v>
      </c>
      <c r="BI778">
        <v>1</v>
      </c>
      <c r="BJ778">
        <v>1</v>
      </c>
      <c r="BK778">
        <v>1</v>
      </c>
      <c r="BL778">
        <v>0</v>
      </c>
      <c r="BO778">
        <v>0</v>
      </c>
      <c r="BP778">
        <v>0</v>
      </c>
      <c r="BW778" t="str">
        <f>"13:56:57.545"</f>
        <v>13:56:57.545</v>
      </c>
      <c r="CJ778">
        <v>0</v>
      </c>
      <c r="CK778">
        <v>2</v>
      </c>
      <c r="CL778">
        <v>0</v>
      </c>
      <c r="CM778">
        <v>2</v>
      </c>
      <c r="CN778">
        <v>0</v>
      </c>
      <c r="CO778">
        <v>6</v>
      </c>
      <c r="CP778" t="s">
        <v>119</v>
      </c>
      <c r="CQ778">
        <v>209</v>
      </c>
      <c r="CR778">
        <v>3</v>
      </c>
      <c r="CW778">
        <v>7230161</v>
      </c>
      <c r="CY778">
        <v>1</v>
      </c>
      <c r="CZ778">
        <v>0</v>
      </c>
      <c r="DA778">
        <v>1</v>
      </c>
      <c r="DB778">
        <v>0</v>
      </c>
      <c r="DC778">
        <v>0</v>
      </c>
      <c r="DD778">
        <v>1</v>
      </c>
      <c r="DE778">
        <v>0</v>
      </c>
      <c r="DF778">
        <v>0</v>
      </c>
      <c r="DG778">
        <v>0</v>
      </c>
      <c r="DH778">
        <v>0</v>
      </c>
      <c r="DI778">
        <v>0</v>
      </c>
    </row>
    <row r="779" spans="1:113" x14ac:dyDescent="0.3">
      <c r="A779" t="str">
        <f>"09/28/2021 13:56:58.667"</f>
        <v>09/28/2021 13:56:58.667</v>
      </c>
      <c r="C779" t="str">
        <f t="shared" si="38"/>
        <v>FFDFD3C0</v>
      </c>
      <c r="D779" t="s">
        <v>113</v>
      </c>
      <c r="E779">
        <v>7</v>
      </c>
      <c r="H779">
        <v>170</v>
      </c>
      <c r="I779" t="s">
        <v>114</v>
      </c>
      <c r="J779" t="s">
        <v>115</v>
      </c>
      <c r="K779">
        <v>0</v>
      </c>
      <c r="L779">
        <v>3</v>
      </c>
      <c r="M779">
        <v>0</v>
      </c>
      <c r="N779">
        <v>2</v>
      </c>
      <c r="O779">
        <v>1</v>
      </c>
      <c r="P779">
        <v>0</v>
      </c>
      <c r="Q779">
        <v>0</v>
      </c>
      <c r="S779" t="str">
        <f>"13:56:58.461"</f>
        <v>13:56:58.461</v>
      </c>
      <c r="T779" t="str">
        <f>"13:56:57.961"</f>
        <v>13:56:57.961</v>
      </c>
      <c r="U779" t="str">
        <f t="shared" si="40"/>
        <v>A92BC1</v>
      </c>
      <c r="V779">
        <v>0</v>
      </c>
      <c r="W779">
        <v>0</v>
      </c>
      <c r="X779">
        <v>2</v>
      </c>
      <c r="Z779">
        <v>0</v>
      </c>
      <c r="AA779">
        <v>9</v>
      </c>
      <c r="AB779">
        <v>3</v>
      </c>
      <c r="AC779">
        <v>0</v>
      </c>
      <c r="AD779">
        <v>10</v>
      </c>
      <c r="AE779">
        <v>0</v>
      </c>
      <c r="AF779">
        <v>3</v>
      </c>
      <c r="AG779">
        <v>2</v>
      </c>
      <c r="AH779">
        <v>0</v>
      </c>
      <c r="AI779" t="s">
        <v>880</v>
      </c>
      <c r="AJ779">
        <v>45.817323000000002</v>
      </c>
      <c r="AK779" t="s">
        <v>881</v>
      </c>
      <c r="AL779">
        <v>-89.226279000000005</v>
      </c>
      <c r="AM779">
        <v>100</v>
      </c>
      <c r="AN779">
        <v>13500</v>
      </c>
      <c r="AO779" t="s">
        <v>118</v>
      </c>
      <c r="AP779">
        <v>147</v>
      </c>
      <c r="AQ779">
        <v>118</v>
      </c>
      <c r="AR779">
        <v>1472</v>
      </c>
      <c r="AZ779">
        <v>1200</v>
      </c>
      <c r="BA779">
        <v>1</v>
      </c>
      <c r="BB779" t="str">
        <f t="shared" si="39"/>
        <v xml:space="preserve">N690LS  </v>
      </c>
      <c r="BC779">
        <v>1</v>
      </c>
      <c r="BE779">
        <v>0</v>
      </c>
      <c r="BF779">
        <v>0</v>
      </c>
      <c r="BG779">
        <v>0</v>
      </c>
      <c r="BH779">
        <v>13875</v>
      </c>
      <c r="BI779">
        <v>1</v>
      </c>
      <c r="BJ779">
        <v>1</v>
      </c>
      <c r="BK779">
        <v>1</v>
      </c>
      <c r="BL779">
        <v>0</v>
      </c>
      <c r="BO779">
        <v>0</v>
      </c>
      <c r="BP779">
        <v>0</v>
      </c>
      <c r="BW779" t="str">
        <f>"13:56:58.467"</f>
        <v>13:56:58.467</v>
      </c>
      <c r="CJ779">
        <v>0</v>
      </c>
      <c r="CK779">
        <v>2</v>
      </c>
      <c r="CL779">
        <v>0</v>
      </c>
      <c r="CM779">
        <v>2</v>
      </c>
      <c r="CN779">
        <v>0</v>
      </c>
      <c r="CO779">
        <v>6</v>
      </c>
      <c r="CP779" t="s">
        <v>119</v>
      </c>
      <c r="CQ779">
        <v>209</v>
      </c>
      <c r="CR779">
        <v>3</v>
      </c>
      <c r="CW779">
        <v>7230491</v>
      </c>
      <c r="CY779">
        <v>1</v>
      </c>
      <c r="CZ779">
        <v>0</v>
      </c>
      <c r="DA779">
        <v>0</v>
      </c>
      <c r="DB779">
        <v>0</v>
      </c>
      <c r="DC779">
        <v>0</v>
      </c>
      <c r="DD779">
        <v>1</v>
      </c>
      <c r="DE779">
        <v>0</v>
      </c>
      <c r="DF779">
        <v>0</v>
      </c>
      <c r="DG779">
        <v>0</v>
      </c>
      <c r="DH779">
        <v>0</v>
      </c>
      <c r="DI779">
        <v>0</v>
      </c>
    </row>
    <row r="780" spans="1:113" x14ac:dyDescent="0.3">
      <c r="A780" t="str">
        <f>"09/28/2021 13:56:58.667"</f>
        <v>09/28/2021 13:56:58.667</v>
      </c>
      <c r="C780" t="str">
        <f t="shared" si="38"/>
        <v>FFDFD3C0</v>
      </c>
      <c r="D780" t="s">
        <v>120</v>
      </c>
      <c r="E780">
        <v>12</v>
      </c>
      <c r="F780">
        <v>1012</v>
      </c>
      <c r="G780" t="s">
        <v>114</v>
      </c>
      <c r="J780" t="s">
        <v>121</v>
      </c>
      <c r="K780">
        <v>0</v>
      </c>
      <c r="L780">
        <v>3</v>
      </c>
      <c r="M780">
        <v>0</v>
      </c>
      <c r="N780">
        <v>2</v>
      </c>
      <c r="O780">
        <v>1</v>
      </c>
      <c r="P780">
        <v>0</v>
      </c>
      <c r="Q780">
        <v>0</v>
      </c>
      <c r="S780" t="str">
        <f>"13:56:58.461"</f>
        <v>13:56:58.461</v>
      </c>
      <c r="T780" t="str">
        <f>"13:56:57.961"</f>
        <v>13:56:57.961</v>
      </c>
      <c r="U780" t="str">
        <f t="shared" si="40"/>
        <v>A92BC1</v>
      </c>
      <c r="V780">
        <v>0</v>
      </c>
      <c r="W780">
        <v>0</v>
      </c>
      <c r="X780">
        <v>2</v>
      </c>
      <c r="Z780">
        <v>0</v>
      </c>
      <c r="AA780">
        <v>9</v>
      </c>
      <c r="AB780">
        <v>3</v>
      </c>
      <c r="AC780">
        <v>0</v>
      </c>
      <c r="AD780">
        <v>10</v>
      </c>
      <c r="AE780">
        <v>0</v>
      </c>
      <c r="AF780">
        <v>3</v>
      </c>
      <c r="AG780">
        <v>2</v>
      </c>
      <c r="AH780">
        <v>0</v>
      </c>
      <c r="AI780" t="s">
        <v>880</v>
      </c>
      <c r="AJ780">
        <v>45.817323000000002</v>
      </c>
      <c r="AK780" t="s">
        <v>881</v>
      </c>
      <c r="AL780">
        <v>-89.226279000000005</v>
      </c>
      <c r="AM780">
        <v>100</v>
      </c>
      <c r="AN780">
        <v>13500</v>
      </c>
      <c r="AO780" t="s">
        <v>118</v>
      </c>
      <c r="AP780">
        <v>147</v>
      </c>
      <c r="AQ780">
        <v>118</v>
      </c>
      <c r="AR780">
        <v>1472</v>
      </c>
      <c r="AZ780">
        <v>1200</v>
      </c>
      <c r="BA780">
        <v>1</v>
      </c>
      <c r="BB780" t="str">
        <f t="shared" si="39"/>
        <v xml:space="preserve">N690LS  </v>
      </c>
      <c r="BC780">
        <v>1</v>
      </c>
      <c r="BE780">
        <v>0</v>
      </c>
      <c r="BF780">
        <v>0</v>
      </c>
      <c r="BG780">
        <v>0</v>
      </c>
      <c r="BH780">
        <v>13875</v>
      </c>
      <c r="BI780">
        <v>1</v>
      </c>
      <c r="BJ780">
        <v>1</v>
      </c>
      <c r="BK780">
        <v>1</v>
      </c>
      <c r="BL780">
        <v>0</v>
      </c>
      <c r="BO780">
        <v>0</v>
      </c>
      <c r="BP780">
        <v>0</v>
      </c>
      <c r="BW780" t="str">
        <f>"13:56:58.467"</f>
        <v>13:56:58.467</v>
      </c>
      <c r="CJ780">
        <v>0</v>
      </c>
      <c r="CK780">
        <v>2</v>
      </c>
      <c r="CL780">
        <v>0</v>
      </c>
      <c r="CM780">
        <v>2</v>
      </c>
      <c r="CN780">
        <v>0</v>
      </c>
      <c r="CO780">
        <v>6</v>
      </c>
      <c r="CP780" t="s">
        <v>119</v>
      </c>
      <c r="CQ780">
        <v>209</v>
      </c>
      <c r="CR780">
        <v>3</v>
      </c>
      <c r="CW780">
        <v>7230491</v>
      </c>
      <c r="CY780">
        <v>1</v>
      </c>
      <c r="CZ780">
        <v>0</v>
      </c>
      <c r="DA780">
        <v>1</v>
      </c>
      <c r="DB780">
        <v>0</v>
      </c>
      <c r="DC780">
        <v>0</v>
      </c>
      <c r="DD780">
        <v>1</v>
      </c>
      <c r="DE780">
        <v>0</v>
      </c>
      <c r="DF780">
        <v>0</v>
      </c>
      <c r="DG780">
        <v>0</v>
      </c>
      <c r="DH780">
        <v>0</v>
      </c>
      <c r="DI780">
        <v>0</v>
      </c>
    </row>
    <row r="781" spans="1:113" x14ac:dyDescent="0.3">
      <c r="A781" t="str">
        <f>"09/28/2021 13:56:59.715"</f>
        <v>09/28/2021 13:56:59.715</v>
      </c>
      <c r="C781" t="str">
        <f t="shared" si="38"/>
        <v>FFDFD3C0</v>
      </c>
      <c r="D781" t="s">
        <v>113</v>
      </c>
      <c r="E781">
        <v>7</v>
      </c>
      <c r="H781">
        <v>170</v>
      </c>
      <c r="I781" t="s">
        <v>114</v>
      </c>
      <c r="J781" t="s">
        <v>115</v>
      </c>
      <c r="K781">
        <v>0</v>
      </c>
      <c r="L781">
        <v>3</v>
      </c>
      <c r="M781">
        <v>0</v>
      </c>
      <c r="N781">
        <v>2</v>
      </c>
      <c r="O781">
        <v>1</v>
      </c>
      <c r="P781">
        <v>0</v>
      </c>
      <c r="Q781">
        <v>0</v>
      </c>
      <c r="S781" t="str">
        <f>"13:56:59.453"</f>
        <v>13:56:59.453</v>
      </c>
      <c r="T781" t="str">
        <f>"13:56:58.953"</f>
        <v>13:56:58.953</v>
      </c>
      <c r="U781" t="str">
        <f t="shared" si="40"/>
        <v>A92BC1</v>
      </c>
      <c r="V781">
        <v>0</v>
      </c>
      <c r="W781">
        <v>0</v>
      </c>
      <c r="X781">
        <v>2</v>
      </c>
      <c r="Z781">
        <v>0</v>
      </c>
      <c r="AA781">
        <v>9</v>
      </c>
      <c r="AB781">
        <v>3</v>
      </c>
      <c r="AC781">
        <v>0</v>
      </c>
      <c r="AD781">
        <v>10</v>
      </c>
      <c r="AE781">
        <v>0</v>
      </c>
      <c r="AF781">
        <v>3</v>
      </c>
      <c r="AG781">
        <v>2</v>
      </c>
      <c r="AH781">
        <v>0</v>
      </c>
      <c r="AI781" t="s">
        <v>882</v>
      </c>
      <c r="AJ781">
        <v>45.817881</v>
      </c>
      <c r="AK781" t="s">
        <v>883</v>
      </c>
      <c r="AL781">
        <v>-89.225335000000001</v>
      </c>
      <c r="AM781">
        <v>100</v>
      </c>
      <c r="AN781">
        <v>13500</v>
      </c>
      <c r="AO781" t="s">
        <v>118</v>
      </c>
      <c r="AP781">
        <v>147</v>
      </c>
      <c r="AQ781">
        <v>118</v>
      </c>
      <c r="AR781">
        <v>1472</v>
      </c>
      <c r="AZ781">
        <v>1200</v>
      </c>
      <c r="BA781">
        <v>1</v>
      </c>
      <c r="BB781" t="str">
        <f t="shared" si="39"/>
        <v xml:space="preserve">N690LS  </v>
      </c>
      <c r="BC781">
        <v>1</v>
      </c>
      <c r="BE781">
        <v>0</v>
      </c>
      <c r="BF781">
        <v>0</v>
      </c>
      <c r="BG781">
        <v>0</v>
      </c>
      <c r="BH781">
        <v>13900</v>
      </c>
      <c r="BI781">
        <v>1</v>
      </c>
      <c r="BJ781">
        <v>1</v>
      </c>
      <c r="BK781">
        <v>1</v>
      </c>
      <c r="BL781">
        <v>0</v>
      </c>
      <c r="BO781">
        <v>0</v>
      </c>
      <c r="BP781">
        <v>0</v>
      </c>
      <c r="BW781" t="str">
        <f>"13:56:59.454"</f>
        <v>13:56:59.454</v>
      </c>
      <c r="CJ781">
        <v>0</v>
      </c>
      <c r="CK781">
        <v>2</v>
      </c>
      <c r="CL781">
        <v>0</v>
      </c>
      <c r="CM781">
        <v>2</v>
      </c>
      <c r="CN781">
        <v>0</v>
      </c>
      <c r="CO781">
        <v>6</v>
      </c>
      <c r="CP781" t="s">
        <v>119</v>
      </c>
      <c r="CQ781">
        <v>209</v>
      </c>
      <c r="CR781">
        <v>3</v>
      </c>
      <c r="CW781">
        <v>7230830</v>
      </c>
      <c r="CY781">
        <v>1</v>
      </c>
      <c r="CZ781">
        <v>0</v>
      </c>
      <c r="DA781">
        <v>0</v>
      </c>
      <c r="DB781">
        <v>0</v>
      </c>
      <c r="DC781">
        <v>0</v>
      </c>
      <c r="DD781">
        <v>1</v>
      </c>
      <c r="DE781">
        <v>0</v>
      </c>
      <c r="DF781">
        <v>0</v>
      </c>
      <c r="DG781">
        <v>0</v>
      </c>
      <c r="DH781">
        <v>0</v>
      </c>
      <c r="DI781">
        <v>0</v>
      </c>
    </row>
    <row r="782" spans="1:113" x14ac:dyDescent="0.3">
      <c r="A782" t="str">
        <f>"09/28/2021 13:56:59.715"</f>
        <v>09/28/2021 13:56:59.715</v>
      </c>
      <c r="C782" t="str">
        <f t="shared" si="38"/>
        <v>FFDFD3C0</v>
      </c>
      <c r="D782" t="s">
        <v>120</v>
      </c>
      <c r="E782">
        <v>12</v>
      </c>
      <c r="F782">
        <v>1012</v>
      </c>
      <c r="G782" t="s">
        <v>114</v>
      </c>
      <c r="J782" t="s">
        <v>121</v>
      </c>
      <c r="K782">
        <v>0</v>
      </c>
      <c r="L782">
        <v>3</v>
      </c>
      <c r="M782">
        <v>0</v>
      </c>
      <c r="N782">
        <v>2</v>
      </c>
      <c r="O782">
        <v>1</v>
      </c>
      <c r="P782">
        <v>0</v>
      </c>
      <c r="Q782">
        <v>0</v>
      </c>
      <c r="S782" t="str">
        <f>"13:56:59.453"</f>
        <v>13:56:59.453</v>
      </c>
      <c r="T782" t="str">
        <f>"13:56:58.953"</f>
        <v>13:56:58.953</v>
      </c>
      <c r="U782" t="str">
        <f t="shared" si="40"/>
        <v>A92BC1</v>
      </c>
      <c r="V782">
        <v>0</v>
      </c>
      <c r="W782">
        <v>0</v>
      </c>
      <c r="X782">
        <v>2</v>
      </c>
      <c r="Z782">
        <v>0</v>
      </c>
      <c r="AA782">
        <v>9</v>
      </c>
      <c r="AB782">
        <v>3</v>
      </c>
      <c r="AC782">
        <v>0</v>
      </c>
      <c r="AD782">
        <v>10</v>
      </c>
      <c r="AE782">
        <v>0</v>
      </c>
      <c r="AF782">
        <v>3</v>
      </c>
      <c r="AG782">
        <v>2</v>
      </c>
      <c r="AH782">
        <v>0</v>
      </c>
      <c r="AI782" t="s">
        <v>882</v>
      </c>
      <c r="AJ782">
        <v>45.817881</v>
      </c>
      <c r="AK782" t="s">
        <v>883</v>
      </c>
      <c r="AL782">
        <v>-89.225335000000001</v>
      </c>
      <c r="AM782">
        <v>100</v>
      </c>
      <c r="AN782">
        <v>13500</v>
      </c>
      <c r="AO782" t="s">
        <v>118</v>
      </c>
      <c r="AP782">
        <v>147</v>
      </c>
      <c r="AQ782">
        <v>118</v>
      </c>
      <c r="AR782">
        <v>1472</v>
      </c>
      <c r="AZ782">
        <v>1200</v>
      </c>
      <c r="BA782">
        <v>1</v>
      </c>
      <c r="BB782" t="str">
        <f t="shared" si="39"/>
        <v xml:space="preserve">N690LS  </v>
      </c>
      <c r="BC782">
        <v>1</v>
      </c>
      <c r="BE782">
        <v>0</v>
      </c>
      <c r="BF782">
        <v>0</v>
      </c>
      <c r="BG782">
        <v>0</v>
      </c>
      <c r="BH782">
        <v>13900</v>
      </c>
      <c r="BI782">
        <v>1</v>
      </c>
      <c r="BJ782">
        <v>1</v>
      </c>
      <c r="BK782">
        <v>1</v>
      </c>
      <c r="BL782">
        <v>0</v>
      </c>
      <c r="BO782">
        <v>0</v>
      </c>
      <c r="BP782">
        <v>0</v>
      </c>
      <c r="BW782" t="str">
        <f>"13:56:59.454"</f>
        <v>13:56:59.454</v>
      </c>
      <c r="CJ782">
        <v>0</v>
      </c>
      <c r="CK782">
        <v>2</v>
      </c>
      <c r="CL782">
        <v>0</v>
      </c>
      <c r="CM782">
        <v>2</v>
      </c>
      <c r="CN782">
        <v>0</v>
      </c>
      <c r="CO782">
        <v>6</v>
      </c>
      <c r="CP782" t="s">
        <v>119</v>
      </c>
      <c r="CQ782">
        <v>209</v>
      </c>
      <c r="CR782">
        <v>3</v>
      </c>
      <c r="CW782">
        <v>7230830</v>
      </c>
      <c r="CY782">
        <v>1</v>
      </c>
      <c r="CZ782">
        <v>0</v>
      </c>
      <c r="DA782">
        <v>1</v>
      </c>
      <c r="DB782">
        <v>0</v>
      </c>
      <c r="DC782">
        <v>0</v>
      </c>
      <c r="DD782">
        <v>1</v>
      </c>
      <c r="DE782">
        <v>0</v>
      </c>
      <c r="DF782">
        <v>0</v>
      </c>
      <c r="DG782">
        <v>0</v>
      </c>
      <c r="DH782">
        <v>0</v>
      </c>
      <c r="DI782">
        <v>0</v>
      </c>
    </row>
    <row r="783" spans="1:113" x14ac:dyDescent="0.3">
      <c r="A783" t="str">
        <f>"09/28/2021 13:57:00.622"</f>
        <v>09/28/2021 13:57:00.622</v>
      </c>
      <c r="C783" t="str">
        <f t="shared" si="38"/>
        <v>FFDFD3C0</v>
      </c>
      <c r="D783" t="s">
        <v>113</v>
      </c>
      <c r="E783">
        <v>7</v>
      </c>
      <c r="H783">
        <v>170</v>
      </c>
      <c r="I783" t="s">
        <v>114</v>
      </c>
      <c r="J783" t="s">
        <v>115</v>
      </c>
      <c r="K783">
        <v>0</v>
      </c>
      <c r="L783">
        <v>3</v>
      </c>
      <c r="M783">
        <v>0</v>
      </c>
      <c r="N783">
        <v>2</v>
      </c>
      <c r="O783">
        <v>1</v>
      </c>
      <c r="P783">
        <v>0</v>
      </c>
      <c r="Q783">
        <v>0</v>
      </c>
      <c r="S783" t="str">
        <f>"13:57:00.422"</f>
        <v>13:57:00.422</v>
      </c>
      <c r="T783" t="str">
        <f>"13:56:59.922"</f>
        <v>13:56:59.922</v>
      </c>
      <c r="U783" t="str">
        <f t="shared" si="40"/>
        <v>A92BC1</v>
      </c>
      <c r="V783">
        <v>0</v>
      </c>
      <c r="W783">
        <v>0</v>
      </c>
      <c r="X783">
        <v>2</v>
      </c>
      <c r="Z783">
        <v>0</v>
      </c>
      <c r="AA783">
        <v>9</v>
      </c>
      <c r="AB783">
        <v>3</v>
      </c>
      <c r="AC783">
        <v>0</v>
      </c>
      <c r="AD783">
        <v>10</v>
      </c>
      <c r="AE783">
        <v>0</v>
      </c>
      <c r="AF783">
        <v>3</v>
      </c>
      <c r="AG783">
        <v>2</v>
      </c>
      <c r="AH783">
        <v>0</v>
      </c>
      <c r="AI783" t="s">
        <v>884</v>
      </c>
      <c r="AJ783">
        <v>45.818438999999998</v>
      </c>
      <c r="AK783" t="s">
        <v>885</v>
      </c>
      <c r="AL783">
        <v>-89.224305000000001</v>
      </c>
      <c r="AM783">
        <v>100</v>
      </c>
      <c r="AN783">
        <v>13500</v>
      </c>
      <c r="AO783" t="s">
        <v>118</v>
      </c>
      <c r="AP783">
        <v>147</v>
      </c>
      <c r="AQ783">
        <v>118</v>
      </c>
      <c r="AR783">
        <v>1472</v>
      </c>
      <c r="AZ783">
        <v>1200</v>
      </c>
      <c r="BA783">
        <v>1</v>
      </c>
      <c r="BB783" t="str">
        <f t="shared" si="39"/>
        <v xml:space="preserve">N690LS  </v>
      </c>
      <c r="BC783">
        <v>1</v>
      </c>
      <c r="BE783">
        <v>0</v>
      </c>
      <c r="BF783">
        <v>0</v>
      </c>
      <c r="BG783">
        <v>0</v>
      </c>
      <c r="BH783">
        <v>13925</v>
      </c>
      <c r="BI783">
        <v>1</v>
      </c>
      <c r="BJ783">
        <v>1</v>
      </c>
      <c r="BK783">
        <v>1</v>
      </c>
      <c r="BL783">
        <v>0</v>
      </c>
      <c r="BO783">
        <v>0</v>
      </c>
      <c r="BP783">
        <v>0</v>
      </c>
      <c r="BW783" t="str">
        <f>"13:57:00.429"</f>
        <v>13:57:00.429</v>
      </c>
      <c r="CJ783">
        <v>0</v>
      </c>
      <c r="CK783">
        <v>2</v>
      </c>
      <c r="CL783">
        <v>0</v>
      </c>
      <c r="CM783">
        <v>2</v>
      </c>
      <c r="CN783">
        <v>0</v>
      </c>
      <c r="CO783">
        <v>6</v>
      </c>
      <c r="CP783" t="s">
        <v>119</v>
      </c>
      <c r="CQ783">
        <v>209</v>
      </c>
      <c r="CR783">
        <v>3</v>
      </c>
      <c r="CW783">
        <v>7231171</v>
      </c>
      <c r="CY783">
        <v>1</v>
      </c>
      <c r="CZ783">
        <v>0</v>
      </c>
      <c r="DA783">
        <v>0</v>
      </c>
      <c r="DB783">
        <v>0</v>
      </c>
      <c r="DC783">
        <v>0</v>
      </c>
      <c r="DD783">
        <v>1</v>
      </c>
      <c r="DE783">
        <v>0</v>
      </c>
      <c r="DF783">
        <v>0</v>
      </c>
      <c r="DG783">
        <v>0</v>
      </c>
      <c r="DH783">
        <v>0</v>
      </c>
      <c r="DI783">
        <v>0</v>
      </c>
    </row>
    <row r="784" spans="1:113" x14ac:dyDescent="0.3">
      <c r="A784" t="str">
        <f>"09/28/2021 13:57:00.622"</f>
        <v>09/28/2021 13:57:00.622</v>
      </c>
      <c r="C784" t="str">
        <f t="shared" si="38"/>
        <v>FFDFD3C0</v>
      </c>
      <c r="D784" t="s">
        <v>120</v>
      </c>
      <c r="E784">
        <v>12</v>
      </c>
      <c r="F784">
        <v>1012</v>
      </c>
      <c r="G784" t="s">
        <v>114</v>
      </c>
      <c r="J784" t="s">
        <v>121</v>
      </c>
      <c r="K784">
        <v>0</v>
      </c>
      <c r="L784">
        <v>3</v>
      </c>
      <c r="M784">
        <v>0</v>
      </c>
      <c r="N784">
        <v>2</v>
      </c>
      <c r="O784">
        <v>1</v>
      </c>
      <c r="P784">
        <v>0</v>
      </c>
      <c r="Q784">
        <v>0</v>
      </c>
      <c r="S784" t="str">
        <f>"13:57:00.422"</f>
        <v>13:57:00.422</v>
      </c>
      <c r="T784" t="str">
        <f>"13:56:59.922"</f>
        <v>13:56:59.922</v>
      </c>
      <c r="U784" t="str">
        <f t="shared" si="40"/>
        <v>A92BC1</v>
      </c>
      <c r="V784">
        <v>0</v>
      </c>
      <c r="W784">
        <v>0</v>
      </c>
      <c r="X784">
        <v>2</v>
      </c>
      <c r="Z784">
        <v>0</v>
      </c>
      <c r="AA784">
        <v>9</v>
      </c>
      <c r="AB784">
        <v>3</v>
      </c>
      <c r="AC784">
        <v>0</v>
      </c>
      <c r="AD784">
        <v>10</v>
      </c>
      <c r="AE784">
        <v>0</v>
      </c>
      <c r="AF784">
        <v>3</v>
      </c>
      <c r="AG784">
        <v>2</v>
      </c>
      <c r="AH784">
        <v>0</v>
      </c>
      <c r="AI784" t="s">
        <v>884</v>
      </c>
      <c r="AJ784">
        <v>45.818438999999998</v>
      </c>
      <c r="AK784" t="s">
        <v>885</v>
      </c>
      <c r="AL784">
        <v>-89.224305000000001</v>
      </c>
      <c r="AM784">
        <v>100</v>
      </c>
      <c r="AN784">
        <v>13500</v>
      </c>
      <c r="AO784" t="s">
        <v>118</v>
      </c>
      <c r="AP784">
        <v>147</v>
      </c>
      <c r="AQ784">
        <v>118</v>
      </c>
      <c r="AR784">
        <v>1472</v>
      </c>
      <c r="AZ784">
        <v>1200</v>
      </c>
      <c r="BA784">
        <v>1</v>
      </c>
      <c r="BB784" t="str">
        <f t="shared" si="39"/>
        <v xml:space="preserve">N690LS  </v>
      </c>
      <c r="BC784">
        <v>1</v>
      </c>
      <c r="BE784">
        <v>0</v>
      </c>
      <c r="BF784">
        <v>0</v>
      </c>
      <c r="BG784">
        <v>0</v>
      </c>
      <c r="BH784">
        <v>13925</v>
      </c>
      <c r="BI784">
        <v>1</v>
      </c>
      <c r="BJ784">
        <v>1</v>
      </c>
      <c r="BK784">
        <v>1</v>
      </c>
      <c r="BL784">
        <v>0</v>
      </c>
      <c r="BO784">
        <v>0</v>
      </c>
      <c r="BP784">
        <v>0</v>
      </c>
      <c r="BW784" t="str">
        <f>"13:57:00.429"</f>
        <v>13:57:00.429</v>
      </c>
      <c r="CJ784">
        <v>0</v>
      </c>
      <c r="CK784">
        <v>2</v>
      </c>
      <c r="CL784">
        <v>0</v>
      </c>
      <c r="CM784">
        <v>2</v>
      </c>
      <c r="CN784">
        <v>0</v>
      </c>
      <c r="CO784">
        <v>6</v>
      </c>
      <c r="CP784" t="s">
        <v>119</v>
      </c>
      <c r="CQ784">
        <v>209</v>
      </c>
      <c r="CR784">
        <v>3</v>
      </c>
      <c r="CW784">
        <v>7231171</v>
      </c>
      <c r="CY784">
        <v>1</v>
      </c>
      <c r="CZ784">
        <v>0</v>
      </c>
      <c r="DA784">
        <v>1</v>
      </c>
      <c r="DB784">
        <v>0</v>
      </c>
      <c r="DC784">
        <v>0</v>
      </c>
      <c r="DD784">
        <v>1</v>
      </c>
      <c r="DE784">
        <v>0</v>
      </c>
      <c r="DF784">
        <v>0</v>
      </c>
      <c r="DG784">
        <v>0</v>
      </c>
      <c r="DH784">
        <v>0</v>
      </c>
      <c r="DI784">
        <v>0</v>
      </c>
    </row>
    <row r="785" spans="1:113" x14ac:dyDescent="0.3">
      <c r="A785" t="str">
        <f>"09/28/2021 13:57:01.651"</f>
        <v>09/28/2021 13:57:01.651</v>
      </c>
      <c r="C785" t="str">
        <f t="shared" si="38"/>
        <v>FFDFD3C0</v>
      </c>
      <c r="D785" t="s">
        <v>113</v>
      </c>
      <c r="E785">
        <v>7</v>
      </c>
      <c r="H785">
        <v>170</v>
      </c>
      <c r="I785" t="s">
        <v>114</v>
      </c>
      <c r="J785" t="s">
        <v>115</v>
      </c>
      <c r="K785">
        <v>0</v>
      </c>
      <c r="L785">
        <v>3</v>
      </c>
      <c r="M785">
        <v>0</v>
      </c>
      <c r="N785">
        <v>2</v>
      </c>
      <c r="O785">
        <v>1</v>
      </c>
      <c r="P785">
        <v>0</v>
      </c>
      <c r="Q785">
        <v>0</v>
      </c>
      <c r="S785" t="str">
        <f>"13:57:01.430"</f>
        <v>13:57:01.430</v>
      </c>
      <c r="T785" t="str">
        <f>"13:57:01.030"</f>
        <v>13:57:01.030</v>
      </c>
      <c r="U785" t="str">
        <f t="shared" si="40"/>
        <v>A92BC1</v>
      </c>
      <c r="V785">
        <v>0</v>
      </c>
      <c r="W785">
        <v>0</v>
      </c>
      <c r="X785">
        <v>2</v>
      </c>
      <c r="Z785">
        <v>0</v>
      </c>
      <c r="AA785">
        <v>9</v>
      </c>
      <c r="AB785">
        <v>3</v>
      </c>
      <c r="AC785">
        <v>0</v>
      </c>
      <c r="AD785">
        <v>10</v>
      </c>
      <c r="AE785">
        <v>0</v>
      </c>
      <c r="AF785">
        <v>3</v>
      </c>
      <c r="AG785">
        <v>2</v>
      </c>
      <c r="AH785">
        <v>0</v>
      </c>
      <c r="AI785" t="s">
        <v>886</v>
      </c>
      <c r="AJ785">
        <v>45.818953999999998</v>
      </c>
      <c r="AK785" t="s">
        <v>887</v>
      </c>
      <c r="AL785">
        <v>-89.223339999999993</v>
      </c>
      <c r="AM785">
        <v>100</v>
      </c>
      <c r="AN785">
        <v>13500</v>
      </c>
      <c r="AO785" t="s">
        <v>118</v>
      </c>
      <c r="AP785">
        <v>146</v>
      </c>
      <c r="AQ785">
        <v>118</v>
      </c>
      <c r="AR785">
        <v>1536</v>
      </c>
      <c r="AZ785">
        <v>1200</v>
      </c>
      <c r="BA785">
        <v>1</v>
      </c>
      <c r="BB785" t="str">
        <f t="shared" si="39"/>
        <v xml:space="preserve">N690LS  </v>
      </c>
      <c r="BC785">
        <v>1</v>
      </c>
      <c r="BE785">
        <v>0</v>
      </c>
      <c r="BF785">
        <v>0</v>
      </c>
      <c r="BG785">
        <v>0</v>
      </c>
      <c r="BH785">
        <v>13950</v>
      </c>
      <c r="BI785">
        <v>1</v>
      </c>
      <c r="BJ785">
        <v>1</v>
      </c>
      <c r="BK785">
        <v>1</v>
      </c>
      <c r="BL785">
        <v>0</v>
      </c>
      <c r="BO785">
        <v>0</v>
      </c>
      <c r="BP785">
        <v>0</v>
      </c>
      <c r="BW785" t="str">
        <f>"13:57:01.436"</f>
        <v>13:57:01.436</v>
      </c>
      <c r="CJ785">
        <v>0</v>
      </c>
      <c r="CK785">
        <v>2</v>
      </c>
      <c r="CL785">
        <v>0</v>
      </c>
      <c r="CM785">
        <v>2</v>
      </c>
      <c r="CN785">
        <v>0</v>
      </c>
      <c r="CO785">
        <v>6</v>
      </c>
      <c r="CP785" t="s">
        <v>119</v>
      </c>
      <c r="CQ785">
        <v>209</v>
      </c>
      <c r="CR785">
        <v>3</v>
      </c>
      <c r="CW785">
        <v>7231502</v>
      </c>
      <c r="CY785">
        <v>1</v>
      </c>
      <c r="CZ785">
        <v>0</v>
      </c>
      <c r="DA785">
        <v>0</v>
      </c>
      <c r="DB785">
        <v>0</v>
      </c>
      <c r="DC785">
        <v>0</v>
      </c>
      <c r="DD785">
        <v>1</v>
      </c>
      <c r="DE785">
        <v>0</v>
      </c>
      <c r="DF785">
        <v>0</v>
      </c>
      <c r="DG785">
        <v>0</v>
      </c>
      <c r="DH785">
        <v>0</v>
      </c>
      <c r="DI785">
        <v>0</v>
      </c>
    </row>
    <row r="786" spans="1:113" x14ac:dyDescent="0.3">
      <c r="A786" t="str">
        <f>"09/28/2021 13:57:01.651"</f>
        <v>09/28/2021 13:57:01.651</v>
      </c>
      <c r="C786" t="str">
        <f t="shared" si="38"/>
        <v>FFDFD3C0</v>
      </c>
      <c r="D786" t="s">
        <v>120</v>
      </c>
      <c r="E786">
        <v>12</v>
      </c>
      <c r="F786">
        <v>1012</v>
      </c>
      <c r="G786" t="s">
        <v>114</v>
      </c>
      <c r="J786" t="s">
        <v>121</v>
      </c>
      <c r="K786">
        <v>0</v>
      </c>
      <c r="L786">
        <v>3</v>
      </c>
      <c r="M786">
        <v>0</v>
      </c>
      <c r="N786">
        <v>2</v>
      </c>
      <c r="O786">
        <v>1</v>
      </c>
      <c r="P786">
        <v>0</v>
      </c>
      <c r="Q786">
        <v>0</v>
      </c>
      <c r="S786" t="str">
        <f>"13:57:01.430"</f>
        <v>13:57:01.430</v>
      </c>
      <c r="T786" t="str">
        <f>"13:57:01.030"</f>
        <v>13:57:01.030</v>
      </c>
      <c r="U786" t="str">
        <f t="shared" si="40"/>
        <v>A92BC1</v>
      </c>
      <c r="V786">
        <v>0</v>
      </c>
      <c r="W786">
        <v>0</v>
      </c>
      <c r="X786">
        <v>2</v>
      </c>
      <c r="Z786">
        <v>0</v>
      </c>
      <c r="AA786">
        <v>9</v>
      </c>
      <c r="AB786">
        <v>3</v>
      </c>
      <c r="AC786">
        <v>0</v>
      </c>
      <c r="AD786">
        <v>10</v>
      </c>
      <c r="AE786">
        <v>0</v>
      </c>
      <c r="AF786">
        <v>3</v>
      </c>
      <c r="AG786">
        <v>2</v>
      </c>
      <c r="AH786">
        <v>0</v>
      </c>
      <c r="AI786" t="s">
        <v>886</v>
      </c>
      <c r="AJ786">
        <v>45.818953999999998</v>
      </c>
      <c r="AK786" t="s">
        <v>887</v>
      </c>
      <c r="AL786">
        <v>-89.223339999999993</v>
      </c>
      <c r="AM786">
        <v>100</v>
      </c>
      <c r="AN786">
        <v>13500</v>
      </c>
      <c r="AO786" t="s">
        <v>118</v>
      </c>
      <c r="AP786">
        <v>146</v>
      </c>
      <c r="AQ786">
        <v>118</v>
      </c>
      <c r="AR786">
        <v>1536</v>
      </c>
      <c r="AZ786">
        <v>1200</v>
      </c>
      <c r="BA786">
        <v>1</v>
      </c>
      <c r="BB786" t="str">
        <f t="shared" si="39"/>
        <v xml:space="preserve">N690LS  </v>
      </c>
      <c r="BC786">
        <v>1</v>
      </c>
      <c r="BE786">
        <v>0</v>
      </c>
      <c r="BF786">
        <v>0</v>
      </c>
      <c r="BG786">
        <v>0</v>
      </c>
      <c r="BH786">
        <v>13950</v>
      </c>
      <c r="BI786">
        <v>1</v>
      </c>
      <c r="BJ786">
        <v>1</v>
      </c>
      <c r="BK786">
        <v>1</v>
      </c>
      <c r="BL786">
        <v>0</v>
      </c>
      <c r="BO786">
        <v>0</v>
      </c>
      <c r="BP786">
        <v>0</v>
      </c>
      <c r="BW786" t="str">
        <f>"13:57:01.436"</f>
        <v>13:57:01.436</v>
      </c>
      <c r="CJ786">
        <v>0</v>
      </c>
      <c r="CK786">
        <v>2</v>
      </c>
      <c r="CL786">
        <v>0</v>
      </c>
      <c r="CM786">
        <v>2</v>
      </c>
      <c r="CN786">
        <v>0</v>
      </c>
      <c r="CO786">
        <v>6</v>
      </c>
      <c r="CP786" t="s">
        <v>119</v>
      </c>
      <c r="CQ786">
        <v>209</v>
      </c>
      <c r="CR786">
        <v>3</v>
      </c>
      <c r="CW786">
        <v>7231502</v>
      </c>
      <c r="CY786">
        <v>1</v>
      </c>
      <c r="CZ786">
        <v>0</v>
      </c>
      <c r="DA786">
        <v>1</v>
      </c>
      <c r="DB786">
        <v>0</v>
      </c>
      <c r="DC786">
        <v>0</v>
      </c>
      <c r="DD786">
        <v>1</v>
      </c>
      <c r="DE786">
        <v>0</v>
      </c>
      <c r="DF786">
        <v>0</v>
      </c>
      <c r="DG786">
        <v>0</v>
      </c>
      <c r="DH786">
        <v>0</v>
      </c>
      <c r="DI786">
        <v>0</v>
      </c>
    </row>
    <row r="787" spans="1:113" x14ac:dyDescent="0.3">
      <c r="A787" t="str">
        <f>"09/28/2021 13:57:02.589"</f>
        <v>09/28/2021 13:57:02.589</v>
      </c>
      <c r="C787" t="str">
        <f t="shared" si="38"/>
        <v>FFDFD3C0</v>
      </c>
      <c r="D787" t="s">
        <v>120</v>
      </c>
      <c r="E787">
        <v>12</v>
      </c>
      <c r="F787">
        <v>1012</v>
      </c>
      <c r="G787" t="s">
        <v>114</v>
      </c>
      <c r="J787" t="s">
        <v>121</v>
      </c>
      <c r="K787">
        <v>0</v>
      </c>
      <c r="L787">
        <v>3</v>
      </c>
      <c r="M787">
        <v>0</v>
      </c>
      <c r="N787">
        <v>2</v>
      </c>
      <c r="O787">
        <v>1</v>
      </c>
      <c r="P787">
        <v>0</v>
      </c>
      <c r="Q787">
        <v>0</v>
      </c>
      <c r="S787" t="str">
        <f>"13:57:02.391"</f>
        <v>13:57:02.391</v>
      </c>
      <c r="T787" t="str">
        <f>"13:57:01.891"</f>
        <v>13:57:01.891</v>
      </c>
      <c r="U787" t="str">
        <f t="shared" si="40"/>
        <v>A92BC1</v>
      </c>
      <c r="V787">
        <v>0</v>
      </c>
      <c r="W787">
        <v>0</v>
      </c>
      <c r="X787">
        <v>2</v>
      </c>
      <c r="Z787">
        <v>0</v>
      </c>
      <c r="AA787">
        <v>9</v>
      </c>
      <c r="AB787">
        <v>3</v>
      </c>
      <c r="AC787">
        <v>0</v>
      </c>
      <c r="AD787">
        <v>10</v>
      </c>
      <c r="AE787">
        <v>0</v>
      </c>
      <c r="AF787">
        <v>3</v>
      </c>
      <c r="AG787">
        <v>2</v>
      </c>
      <c r="AH787">
        <v>0</v>
      </c>
      <c r="AI787" t="s">
        <v>888</v>
      </c>
      <c r="AJ787">
        <v>45.819446999999997</v>
      </c>
      <c r="AK787" t="s">
        <v>889</v>
      </c>
      <c r="AL787">
        <v>-89.222524000000007</v>
      </c>
      <c r="AM787">
        <v>100</v>
      </c>
      <c r="AN787">
        <v>13600</v>
      </c>
      <c r="AO787" t="s">
        <v>118</v>
      </c>
      <c r="AP787">
        <v>146</v>
      </c>
      <c r="AQ787">
        <v>118</v>
      </c>
      <c r="AR787">
        <v>1536</v>
      </c>
      <c r="AZ787">
        <v>1200</v>
      </c>
      <c r="BA787">
        <v>1</v>
      </c>
      <c r="BB787" t="str">
        <f t="shared" si="39"/>
        <v xml:space="preserve">N690LS  </v>
      </c>
      <c r="BC787">
        <v>1</v>
      </c>
      <c r="BE787">
        <v>0</v>
      </c>
      <c r="BF787">
        <v>0</v>
      </c>
      <c r="BG787">
        <v>0</v>
      </c>
      <c r="BH787">
        <v>13975</v>
      </c>
      <c r="BI787">
        <v>1</v>
      </c>
      <c r="BJ787">
        <v>1</v>
      </c>
      <c r="BK787">
        <v>1</v>
      </c>
      <c r="BL787">
        <v>0</v>
      </c>
      <c r="BO787">
        <v>0</v>
      </c>
      <c r="BP787">
        <v>0</v>
      </c>
      <c r="BW787" t="str">
        <f>"13:57:02.398"</f>
        <v>13:57:02.398</v>
      </c>
      <c r="CJ787">
        <v>0</v>
      </c>
      <c r="CK787">
        <v>2</v>
      </c>
      <c r="CL787">
        <v>0</v>
      </c>
      <c r="CM787">
        <v>2</v>
      </c>
      <c r="CN787">
        <v>0</v>
      </c>
      <c r="CO787">
        <v>6</v>
      </c>
      <c r="CP787" t="s">
        <v>119</v>
      </c>
      <c r="CQ787">
        <v>209</v>
      </c>
      <c r="CR787">
        <v>3</v>
      </c>
      <c r="CW787">
        <v>7231801</v>
      </c>
      <c r="CY787">
        <v>1</v>
      </c>
      <c r="CZ787">
        <v>0</v>
      </c>
      <c r="DA787">
        <v>0</v>
      </c>
      <c r="DB787">
        <v>0</v>
      </c>
      <c r="DC787">
        <v>0</v>
      </c>
      <c r="DD787">
        <v>1</v>
      </c>
      <c r="DE787">
        <v>0</v>
      </c>
      <c r="DF787">
        <v>0</v>
      </c>
      <c r="DG787">
        <v>0</v>
      </c>
      <c r="DH787">
        <v>0</v>
      </c>
      <c r="DI787">
        <v>0</v>
      </c>
    </row>
    <row r="788" spans="1:113" x14ac:dyDescent="0.3">
      <c r="A788" t="str">
        <f>"09/28/2021 13:57:02.589"</f>
        <v>09/28/2021 13:57:02.589</v>
      </c>
      <c r="C788" t="str">
        <f t="shared" si="38"/>
        <v>FFDFD3C0</v>
      </c>
      <c r="D788" t="s">
        <v>113</v>
      </c>
      <c r="E788">
        <v>7</v>
      </c>
      <c r="H788">
        <v>170</v>
      </c>
      <c r="I788" t="s">
        <v>114</v>
      </c>
      <c r="J788" t="s">
        <v>115</v>
      </c>
      <c r="K788">
        <v>0</v>
      </c>
      <c r="L788">
        <v>3</v>
      </c>
      <c r="M788">
        <v>0</v>
      </c>
      <c r="N788">
        <v>2</v>
      </c>
      <c r="O788">
        <v>1</v>
      </c>
      <c r="P788">
        <v>0</v>
      </c>
      <c r="Q788">
        <v>0</v>
      </c>
      <c r="S788" t="str">
        <f>"13:57:02.391"</f>
        <v>13:57:02.391</v>
      </c>
      <c r="T788" t="str">
        <f>"13:57:01.891"</f>
        <v>13:57:01.891</v>
      </c>
      <c r="U788" t="str">
        <f t="shared" si="40"/>
        <v>A92BC1</v>
      </c>
      <c r="V788">
        <v>0</v>
      </c>
      <c r="W788">
        <v>0</v>
      </c>
      <c r="X788">
        <v>2</v>
      </c>
      <c r="Z788">
        <v>0</v>
      </c>
      <c r="AA788">
        <v>9</v>
      </c>
      <c r="AB788">
        <v>3</v>
      </c>
      <c r="AC788">
        <v>0</v>
      </c>
      <c r="AD788">
        <v>10</v>
      </c>
      <c r="AE788">
        <v>0</v>
      </c>
      <c r="AF788">
        <v>3</v>
      </c>
      <c r="AG788">
        <v>2</v>
      </c>
      <c r="AH788">
        <v>0</v>
      </c>
      <c r="AI788" t="s">
        <v>888</v>
      </c>
      <c r="AJ788">
        <v>45.819446999999997</v>
      </c>
      <c r="AK788" t="s">
        <v>889</v>
      </c>
      <c r="AL788">
        <v>-89.222524000000007</v>
      </c>
      <c r="AM788">
        <v>100</v>
      </c>
      <c r="AN788">
        <v>13600</v>
      </c>
      <c r="AO788" t="s">
        <v>118</v>
      </c>
      <c r="AP788">
        <v>146</v>
      </c>
      <c r="AQ788">
        <v>118</v>
      </c>
      <c r="AR788">
        <v>1536</v>
      </c>
      <c r="AZ788">
        <v>1200</v>
      </c>
      <c r="BA788">
        <v>1</v>
      </c>
      <c r="BB788" t="str">
        <f t="shared" si="39"/>
        <v xml:space="preserve">N690LS  </v>
      </c>
      <c r="BC788">
        <v>1</v>
      </c>
      <c r="BE788">
        <v>0</v>
      </c>
      <c r="BF788">
        <v>0</v>
      </c>
      <c r="BG788">
        <v>0</v>
      </c>
      <c r="BH788">
        <v>13975</v>
      </c>
      <c r="BI788">
        <v>1</v>
      </c>
      <c r="BJ788">
        <v>1</v>
      </c>
      <c r="BK788">
        <v>1</v>
      </c>
      <c r="BL788">
        <v>0</v>
      </c>
      <c r="BO788">
        <v>0</v>
      </c>
      <c r="BP788">
        <v>0</v>
      </c>
      <c r="BW788" t="str">
        <f>"13:57:02.398"</f>
        <v>13:57:02.398</v>
      </c>
      <c r="CJ788">
        <v>0</v>
      </c>
      <c r="CK788">
        <v>2</v>
      </c>
      <c r="CL788">
        <v>0</v>
      </c>
      <c r="CM788">
        <v>2</v>
      </c>
      <c r="CN788">
        <v>0</v>
      </c>
      <c r="CO788">
        <v>6</v>
      </c>
      <c r="CP788" t="s">
        <v>119</v>
      </c>
      <c r="CQ788">
        <v>209</v>
      </c>
      <c r="CR788">
        <v>3</v>
      </c>
      <c r="CW788">
        <v>7231801</v>
      </c>
      <c r="CY788">
        <v>1</v>
      </c>
      <c r="CZ788">
        <v>0</v>
      </c>
      <c r="DA788">
        <v>1</v>
      </c>
      <c r="DB788">
        <v>0</v>
      </c>
      <c r="DC788">
        <v>0</v>
      </c>
      <c r="DD788">
        <v>1</v>
      </c>
      <c r="DE788">
        <v>0</v>
      </c>
      <c r="DF788">
        <v>0</v>
      </c>
      <c r="DG788">
        <v>0</v>
      </c>
      <c r="DH788">
        <v>0</v>
      </c>
      <c r="DI788">
        <v>0</v>
      </c>
    </row>
    <row r="789" spans="1:113" x14ac:dyDescent="0.3">
      <c r="A789" t="str">
        <f>"09/28/2021 13:57:03.730"</f>
        <v>09/28/2021 13:57:03.730</v>
      </c>
      <c r="C789" t="str">
        <f t="shared" si="38"/>
        <v>FFDFD3C0</v>
      </c>
      <c r="D789" t="s">
        <v>120</v>
      </c>
      <c r="E789">
        <v>12</v>
      </c>
      <c r="F789">
        <v>1012</v>
      </c>
      <c r="G789" t="s">
        <v>114</v>
      </c>
      <c r="J789" t="s">
        <v>121</v>
      </c>
      <c r="K789">
        <v>0</v>
      </c>
      <c r="L789">
        <v>3</v>
      </c>
      <c r="M789">
        <v>0</v>
      </c>
      <c r="N789">
        <v>2</v>
      </c>
      <c r="O789">
        <v>1</v>
      </c>
      <c r="P789">
        <v>0</v>
      </c>
      <c r="Q789">
        <v>0</v>
      </c>
      <c r="S789" t="str">
        <f>"13:57:03.492"</f>
        <v>13:57:03.492</v>
      </c>
      <c r="T789" t="str">
        <f>"13:57:02.992"</f>
        <v>13:57:02.992</v>
      </c>
      <c r="U789" t="str">
        <f t="shared" si="40"/>
        <v>A92BC1</v>
      </c>
      <c r="V789">
        <v>0</v>
      </c>
      <c r="W789">
        <v>0</v>
      </c>
      <c r="X789">
        <v>2</v>
      </c>
      <c r="Z789">
        <v>0</v>
      </c>
      <c r="AA789">
        <v>9</v>
      </c>
      <c r="AB789">
        <v>3</v>
      </c>
      <c r="AC789">
        <v>0</v>
      </c>
      <c r="AD789">
        <v>10</v>
      </c>
      <c r="AE789">
        <v>0</v>
      </c>
      <c r="AF789">
        <v>3</v>
      </c>
      <c r="AG789">
        <v>2</v>
      </c>
      <c r="AH789">
        <v>0</v>
      </c>
      <c r="AI789" t="s">
        <v>890</v>
      </c>
      <c r="AJ789">
        <v>45.820068999999997</v>
      </c>
      <c r="AK789" t="s">
        <v>891</v>
      </c>
      <c r="AL789">
        <v>-89.221407999999997</v>
      </c>
      <c r="AM789">
        <v>100</v>
      </c>
      <c r="AN789">
        <v>13600</v>
      </c>
      <c r="AO789" t="s">
        <v>118</v>
      </c>
      <c r="AP789">
        <v>146</v>
      </c>
      <c r="AQ789">
        <v>118</v>
      </c>
      <c r="AR789">
        <v>1536</v>
      </c>
      <c r="AZ789">
        <v>1200</v>
      </c>
      <c r="BA789">
        <v>1</v>
      </c>
      <c r="BB789" t="str">
        <f t="shared" si="39"/>
        <v xml:space="preserve">N690LS  </v>
      </c>
      <c r="BC789">
        <v>1</v>
      </c>
      <c r="BE789">
        <v>0</v>
      </c>
      <c r="BF789">
        <v>0</v>
      </c>
      <c r="BG789">
        <v>0</v>
      </c>
      <c r="BH789">
        <v>14000</v>
      </c>
      <c r="BI789">
        <v>1</v>
      </c>
      <c r="BJ789">
        <v>1</v>
      </c>
      <c r="BK789">
        <v>1</v>
      </c>
      <c r="BL789">
        <v>0</v>
      </c>
      <c r="BO789">
        <v>0</v>
      </c>
      <c r="BP789">
        <v>0</v>
      </c>
      <c r="BW789" t="str">
        <f>"13:57:03.493"</f>
        <v>13:57:03.493</v>
      </c>
      <c r="CJ789">
        <v>0</v>
      </c>
      <c r="CK789">
        <v>2</v>
      </c>
      <c r="CL789">
        <v>0</v>
      </c>
      <c r="CM789">
        <v>2</v>
      </c>
      <c r="CN789">
        <v>0</v>
      </c>
      <c r="CO789">
        <v>6</v>
      </c>
      <c r="CP789" t="s">
        <v>119</v>
      </c>
      <c r="CQ789">
        <v>209</v>
      </c>
      <c r="CR789">
        <v>2</v>
      </c>
      <c r="CW789">
        <v>11787791</v>
      </c>
      <c r="CY789">
        <v>1</v>
      </c>
      <c r="CZ789">
        <v>0</v>
      </c>
      <c r="DA789">
        <v>0</v>
      </c>
      <c r="DB789">
        <v>0</v>
      </c>
      <c r="DC789">
        <v>0</v>
      </c>
      <c r="DD789">
        <v>1</v>
      </c>
      <c r="DE789">
        <v>0</v>
      </c>
      <c r="DF789">
        <v>0</v>
      </c>
      <c r="DG789">
        <v>0</v>
      </c>
      <c r="DH789">
        <v>0</v>
      </c>
      <c r="DI789">
        <v>0</v>
      </c>
    </row>
    <row r="790" spans="1:113" x14ac:dyDescent="0.3">
      <c r="A790" t="str">
        <f>"09/28/2021 13:57:03.730"</f>
        <v>09/28/2021 13:57:03.730</v>
      </c>
      <c r="C790" t="str">
        <f t="shared" si="38"/>
        <v>FFDFD3C0</v>
      </c>
      <c r="D790" t="s">
        <v>113</v>
      </c>
      <c r="E790">
        <v>7</v>
      </c>
      <c r="H790">
        <v>170</v>
      </c>
      <c r="I790" t="s">
        <v>114</v>
      </c>
      <c r="J790" t="s">
        <v>115</v>
      </c>
      <c r="K790">
        <v>0</v>
      </c>
      <c r="L790">
        <v>3</v>
      </c>
      <c r="M790">
        <v>0</v>
      </c>
      <c r="N790">
        <v>2</v>
      </c>
      <c r="O790">
        <v>1</v>
      </c>
      <c r="P790">
        <v>0</v>
      </c>
      <c r="Q790">
        <v>0</v>
      </c>
      <c r="S790" t="str">
        <f>"13:57:03.492"</f>
        <v>13:57:03.492</v>
      </c>
      <c r="T790" t="str">
        <f>"13:57:02.992"</f>
        <v>13:57:02.992</v>
      </c>
      <c r="U790" t="str">
        <f t="shared" si="40"/>
        <v>A92BC1</v>
      </c>
      <c r="V790">
        <v>0</v>
      </c>
      <c r="W790">
        <v>0</v>
      </c>
      <c r="X790">
        <v>2</v>
      </c>
      <c r="Z790">
        <v>0</v>
      </c>
      <c r="AA790">
        <v>9</v>
      </c>
      <c r="AB790">
        <v>3</v>
      </c>
      <c r="AC790">
        <v>0</v>
      </c>
      <c r="AD790">
        <v>10</v>
      </c>
      <c r="AE790">
        <v>0</v>
      </c>
      <c r="AF790">
        <v>3</v>
      </c>
      <c r="AG790">
        <v>2</v>
      </c>
      <c r="AH790">
        <v>0</v>
      </c>
      <c r="AI790" t="s">
        <v>890</v>
      </c>
      <c r="AJ790">
        <v>45.820068999999997</v>
      </c>
      <c r="AK790" t="s">
        <v>891</v>
      </c>
      <c r="AL790">
        <v>-89.221407999999997</v>
      </c>
      <c r="AM790">
        <v>100</v>
      </c>
      <c r="AN790">
        <v>13600</v>
      </c>
      <c r="AO790" t="s">
        <v>118</v>
      </c>
      <c r="AP790">
        <v>146</v>
      </c>
      <c r="AQ790">
        <v>118</v>
      </c>
      <c r="AR790">
        <v>1536</v>
      </c>
      <c r="AZ790">
        <v>1200</v>
      </c>
      <c r="BA790">
        <v>1</v>
      </c>
      <c r="BB790" t="str">
        <f t="shared" si="39"/>
        <v xml:space="preserve">N690LS  </v>
      </c>
      <c r="BC790">
        <v>1</v>
      </c>
      <c r="BE790">
        <v>0</v>
      </c>
      <c r="BF790">
        <v>0</v>
      </c>
      <c r="BG790">
        <v>0</v>
      </c>
      <c r="BH790">
        <v>14000</v>
      </c>
      <c r="BI790">
        <v>1</v>
      </c>
      <c r="BJ790">
        <v>1</v>
      </c>
      <c r="BK790">
        <v>1</v>
      </c>
      <c r="BL790">
        <v>0</v>
      </c>
      <c r="BO790">
        <v>0</v>
      </c>
      <c r="BP790">
        <v>0</v>
      </c>
      <c r="BW790" t="str">
        <f>"13:57:03.493"</f>
        <v>13:57:03.493</v>
      </c>
      <c r="CJ790">
        <v>0</v>
      </c>
      <c r="CK790">
        <v>2</v>
      </c>
      <c r="CL790">
        <v>0</v>
      </c>
      <c r="CM790">
        <v>2</v>
      </c>
      <c r="CN790">
        <v>0</v>
      </c>
      <c r="CO790">
        <v>6</v>
      </c>
      <c r="CP790" t="s">
        <v>119</v>
      </c>
      <c r="CQ790">
        <v>209</v>
      </c>
      <c r="CR790">
        <v>2</v>
      </c>
      <c r="CW790">
        <v>11787791</v>
      </c>
      <c r="CY790">
        <v>1</v>
      </c>
      <c r="CZ790">
        <v>0</v>
      </c>
      <c r="DA790">
        <v>1</v>
      </c>
      <c r="DB790">
        <v>0</v>
      </c>
      <c r="DC790">
        <v>0</v>
      </c>
      <c r="DD790">
        <v>1</v>
      </c>
      <c r="DE790">
        <v>0</v>
      </c>
      <c r="DF790">
        <v>0</v>
      </c>
      <c r="DG790">
        <v>0</v>
      </c>
      <c r="DH790">
        <v>0</v>
      </c>
      <c r="DI790">
        <v>0</v>
      </c>
    </row>
    <row r="791" spans="1:113" x14ac:dyDescent="0.3">
      <c r="A791" t="str">
        <f>"09/28/2021 13:57:04.809"</f>
        <v>09/28/2021 13:57:04.809</v>
      </c>
      <c r="C791" t="str">
        <f t="shared" si="38"/>
        <v>FFDFD3C0</v>
      </c>
      <c r="D791" t="s">
        <v>120</v>
      </c>
      <c r="E791">
        <v>12</v>
      </c>
      <c r="F791">
        <v>1012</v>
      </c>
      <c r="G791" t="s">
        <v>114</v>
      </c>
      <c r="J791" t="s">
        <v>121</v>
      </c>
      <c r="K791">
        <v>0</v>
      </c>
      <c r="L791">
        <v>3</v>
      </c>
      <c r="M791">
        <v>0</v>
      </c>
      <c r="N791">
        <v>2</v>
      </c>
      <c r="O791">
        <v>1</v>
      </c>
      <c r="P791">
        <v>0</v>
      </c>
      <c r="Q791">
        <v>0</v>
      </c>
      <c r="S791" t="str">
        <f>"13:57:04.602"</f>
        <v>13:57:04.602</v>
      </c>
      <c r="T791" t="str">
        <f>"13:57:04.102"</f>
        <v>13:57:04.102</v>
      </c>
      <c r="U791" t="str">
        <f t="shared" si="40"/>
        <v>A92BC1</v>
      </c>
      <c r="V791">
        <v>0</v>
      </c>
      <c r="W791">
        <v>0</v>
      </c>
      <c r="X791">
        <v>2</v>
      </c>
      <c r="Z791">
        <v>0</v>
      </c>
      <c r="AA791">
        <v>9</v>
      </c>
      <c r="AB791">
        <v>3</v>
      </c>
      <c r="AC791">
        <v>0</v>
      </c>
      <c r="AD791">
        <v>10</v>
      </c>
      <c r="AE791">
        <v>0</v>
      </c>
      <c r="AF791">
        <v>3</v>
      </c>
      <c r="AG791">
        <v>2</v>
      </c>
      <c r="AH791">
        <v>0</v>
      </c>
      <c r="AI791" t="s">
        <v>892</v>
      </c>
      <c r="AJ791">
        <v>45.82067</v>
      </c>
      <c r="AK791" t="s">
        <v>893</v>
      </c>
      <c r="AL791">
        <v>-89.220377999999997</v>
      </c>
      <c r="AM791">
        <v>100</v>
      </c>
      <c r="AN791">
        <v>13600</v>
      </c>
      <c r="AO791" t="s">
        <v>118</v>
      </c>
      <c r="AP791">
        <v>146</v>
      </c>
      <c r="AQ791">
        <v>119</v>
      </c>
      <c r="AR791">
        <v>1536</v>
      </c>
      <c r="AZ791">
        <v>1200</v>
      </c>
      <c r="BA791">
        <v>1</v>
      </c>
      <c r="BB791" t="str">
        <f t="shared" si="39"/>
        <v xml:space="preserve">N690LS  </v>
      </c>
      <c r="BC791">
        <v>1</v>
      </c>
      <c r="BE791">
        <v>0</v>
      </c>
      <c r="BF791">
        <v>0</v>
      </c>
      <c r="BG791">
        <v>0</v>
      </c>
      <c r="BH791">
        <v>14025</v>
      </c>
      <c r="BI791">
        <v>1</v>
      </c>
      <c r="BJ791">
        <v>1</v>
      </c>
      <c r="BK791">
        <v>1</v>
      </c>
      <c r="BL791">
        <v>0</v>
      </c>
      <c r="BO791">
        <v>0</v>
      </c>
      <c r="BP791">
        <v>0</v>
      </c>
      <c r="BW791" t="str">
        <f>"13:57:04.603"</f>
        <v>13:57:04.603</v>
      </c>
      <c r="CJ791">
        <v>0</v>
      </c>
      <c r="CK791">
        <v>2</v>
      </c>
      <c r="CL791">
        <v>0</v>
      </c>
      <c r="CM791">
        <v>2</v>
      </c>
      <c r="CN791">
        <v>0</v>
      </c>
      <c r="CO791">
        <v>6</v>
      </c>
      <c r="CP791" t="s">
        <v>119</v>
      </c>
      <c r="CQ791">
        <v>209</v>
      </c>
      <c r="CR791">
        <v>3</v>
      </c>
      <c r="CW791">
        <v>7232511</v>
      </c>
      <c r="CY791">
        <v>1</v>
      </c>
      <c r="CZ791">
        <v>0</v>
      </c>
      <c r="DA791">
        <v>0</v>
      </c>
      <c r="DB791">
        <v>0</v>
      </c>
      <c r="DC791">
        <v>0</v>
      </c>
      <c r="DD791">
        <v>1</v>
      </c>
      <c r="DE791">
        <v>0</v>
      </c>
      <c r="DF791">
        <v>0</v>
      </c>
      <c r="DG791">
        <v>0</v>
      </c>
      <c r="DH791">
        <v>0</v>
      </c>
      <c r="DI791">
        <v>0</v>
      </c>
    </row>
    <row r="792" spans="1:113" x14ac:dyDescent="0.3">
      <c r="A792" t="str">
        <f>"09/28/2021 13:57:04.809"</f>
        <v>09/28/2021 13:57:04.809</v>
      </c>
      <c r="C792" t="str">
        <f t="shared" si="38"/>
        <v>FFDFD3C0</v>
      </c>
      <c r="D792" t="s">
        <v>113</v>
      </c>
      <c r="E792">
        <v>7</v>
      </c>
      <c r="H792">
        <v>170</v>
      </c>
      <c r="I792" t="s">
        <v>114</v>
      </c>
      <c r="J792" t="s">
        <v>115</v>
      </c>
      <c r="K792">
        <v>0</v>
      </c>
      <c r="L792">
        <v>3</v>
      </c>
      <c r="M792">
        <v>0</v>
      </c>
      <c r="N792">
        <v>2</v>
      </c>
      <c r="O792">
        <v>1</v>
      </c>
      <c r="P792">
        <v>0</v>
      </c>
      <c r="Q792">
        <v>0</v>
      </c>
      <c r="S792" t="str">
        <f>"13:57:04.602"</f>
        <v>13:57:04.602</v>
      </c>
      <c r="T792" t="str">
        <f>"13:57:04.102"</f>
        <v>13:57:04.102</v>
      </c>
      <c r="U792" t="str">
        <f t="shared" si="40"/>
        <v>A92BC1</v>
      </c>
      <c r="V792">
        <v>0</v>
      </c>
      <c r="W792">
        <v>0</v>
      </c>
      <c r="X792">
        <v>2</v>
      </c>
      <c r="Z792">
        <v>0</v>
      </c>
      <c r="AA792">
        <v>9</v>
      </c>
      <c r="AB792">
        <v>3</v>
      </c>
      <c r="AC792">
        <v>0</v>
      </c>
      <c r="AD792">
        <v>10</v>
      </c>
      <c r="AE792">
        <v>0</v>
      </c>
      <c r="AF792">
        <v>3</v>
      </c>
      <c r="AG792">
        <v>2</v>
      </c>
      <c r="AH792">
        <v>0</v>
      </c>
      <c r="AI792" t="s">
        <v>892</v>
      </c>
      <c r="AJ792">
        <v>45.82067</v>
      </c>
      <c r="AK792" t="s">
        <v>893</v>
      </c>
      <c r="AL792">
        <v>-89.220377999999997</v>
      </c>
      <c r="AM792">
        <v>100</v>
      </c>
      <c r="AN792">
        <v>13600</v>
      </c>
      <c r="AO792" t="s">
        <v>118</v>
      </c>
      <c r="AP792">
        <v>146</v>
      </c>
      <c r="AQ792">
        <v>119</v>
      </c>
      <c r="AR792">
        <v>1536</v>
      </c>
      <c r="AZ792">
        <v>1200</v>
      </c>
      <c r="BA792">
        <v>1</v>
      </c>
      <c r="BB792" t="str">
        <f t="shared" si="39"/>
        <v xml:space="preserve">N690LS  </v>
      </c>
      <c r="BC792">
        <v>1</v>
      </c>
      <c r="BE792">
        <v>0</v>
      </c>
      <c r="BF792">
        <v>0</v>
      </c>
      <c r="BG792">
        <v>0</v>
      </c>
      <c r="BH792">
        <v>14025</v>
      </c>
      <c r="BI792">
        <v>1</v>
      </c>
      <c r="BJ792">
        <v>1</v>
      </c>
      <c r="BK792">
        <v>1</v>
      </c>
      <c r="BL792">
        <v>0</v>
      </c>
      <c r="BO792">
        <v>0</v>
      </c>
      <c r="BP792">
        <v>0</v>
      </c>
      <c r="BW792" t="str">
        <f>"13:57:04.603"</f>
        <v>13:57:04.603</v>
      </c>
      <c r="CJ792">
        <v>0</v>
      </c>
      <c r="CK792">
        <v>2</v>
      </c>
      <c r="CL792">
        <v>0</v>
      </c>
      <c r="CM792">
        <v>2</v>
      </c>
      <c r="CN792">
        <v>0</v>
      </c>
      <c r="CO792">
        <v>6</v>
      </c>
      <c r="CP792" t="s">
        <v>119</v>
      </c>
      <c r="CQ792">
        <v>209</v>
      </c>
      <c r="CR792">
        <v>3</v>
      </c>
      <c r="CW792">
        <v>7232511</v>
      </c>
      <c r="CY792">
        <v>1</v>
      </c>
      <c r="CZ792">
        <v>0</v>
      </c>
      <c r="DA792">
        <v>1</v>
      </c>
      <c r="DB792">
        <v>0</v>
      </c>
      <c r="DC792">
        <v>0</v>
      </c>
      <c r="DD792">
        <v>1</v>
      </c>
      <c r="DE792">
        <v>0</v>
      </c>
      <c r="DF792">
        <v>0</v>
      </c>
      <c r="DG792">
        <v>0</v>
      </c>
      <c r="DH792">
        <v>0</v>
      </c>
      <c r="DI792">
        <v>0</v>
      </c>
    </row>
    <row r="793" spans="1:113" x14ac:dyDescent="0.3">
      <c r="A793" t="str">
        <f>"09/28/2021 13:57:05.622"</f>
        <v>09/28/2021 13:57:05.622</v>
      </c>
      <c r="C793" t="str">
        <f t="shared" si="38"/>
        <v>FFDFD3C0</v>
      </c>
      <c r="D793" t="s">
        <v>120</v>
      </c>
      <c r="E793">
        <v>12</v>
      </c>
      <c r="F793">
        <v>1012</v>
      </c>
      <c r="G793" t="s">
        <v>114</v>
      </c>
      <c r="J793" t="s">
        <v>121</v>
      </c>
      <c r="K793">
        <v>0</v>
      </c>
      <c r="L793">
        <v>3</v>
      </c>
      <c r="M793">
        <v>0</v>
      </c>
      <c r="N793">
        <v>2</v>
      </c>
      <c r="O793">
        <v>1</v>
      </c>
      <c r="P793">
        <v>0</v>
      </c>
      <c r="Q793">
        <v>0</v>
      </c>
      <c r="S793" t="str">
        <f>"13:57:05.438"</f>
        <v>13:57:05.438</v>
      </c>
      <c r="T793" t="str">
        <f>"13:57:05.038"</f>
        <v>13:57:05.038</v>
      </c>
      <c r="U793" t="str">
        <f t="shared" si="40"/>
        <v>A92BC1</v>
      </c>
      <c r="V793">
        <v>0</v>
      </c>
      <c r="W793">
        <v>0</v>
      </c>
      <c r="X793">
        <v>2</v>
      </c>
      <c r="Z793">
        <v>0</v>
      </c>
      <c r="AA793">
        <v>9</v>
      </c>
      <c r="AB793">
        <v>3</v>
      </c>
      <c r="AC793">
        <v>0</v>
      </c>
      <c r="AD793">
        <v>10</v>
      </c>
      <c r="AE793">
        <v>0</v>
      </c>
      <c r="AF793">
        <v>3</v>
      </c>
      <c r="AG793">
        <v>2</v>
      </c>
      <c r="AH793">
        <v>0</v>
      </c>
      <c r="AI793" t="s">
        <v>894</v>
      </c>
      <c r="AJ793">
        <v>45.821185</v>
      </c>
      <c r="AK793" t="s">
        <v>895</v>
      </c>
      <c r="AL793">
        <v>-89.219498999999999</v>
      </c>
      <c r="AM793">
        <v>100</v>
      </c>
      <c r="AN793">
        <v>13600</v>
      </c>
      <c r="AO793" t="s">
        <v>118</v>
      </c>
      <c r="AP793">
        <v>145</v>
      </c>
      <c r="AQ793">
        <v>119</v>
      </c>
      <c r="AR793">
        <v>1536</v>
      </c>
      <c r="AZ793">
        <v>1200</v>
      </c>
      <c r="BA793">
        <v>1</v>
      </c>
      <c r="BB793" t="str">
        <f t="shared" si="39"/>
        <v xml:space="preserve">N690LS  </v>
      </c>
      <c r="BC793">
        <v>1</v>
      </c>
      <c r="BE793">
        <v>0</v>
      </c>
      <c r="BF793">
        <v>0</v>
      </c>
      <c r="BG793">
        <v>0</v>
      </c>
      <c r="BH793">
        <v>14050</v>
      </c>
      <c r="BI793">
        <v>1</v>
      </c>
      <c r="BJ793">
        <v>1</v>
      </c>
      <c r="BK793">
        <v>1</v>
      </c>
      <c r="BL793">
        <v>0</v>
      </c>
      <c r="BO793">
        <v>0</v>
      </c>
      <c r="BP793">
        <v>0</v>
      </c>
      <c r="BW793" t="str">
        <f>"13:57:05.439"</f>
        <v>13:57:05.439</v>
      </c>
      <c r="CJ793">
        <v>0</v>
      </c>
      <c r="CK793">
        <v>2</v>
      </c>
      <c r="CL793">
        <v>0</v>
      </c>
      <c r="CM793">
        <v>2</v>
      </c>
      <c r="CN793">
        <v>0</v>
      </c>
      <c r="CO793">
        <v>6</v>
      </c>
      <c r="CP793" t="s">
        <v>119</v>
      </c>
      <c r="CQ793">
        <v>209</v>
      </c>
      <c r="CR793">
        <v>3</v>
      </c>
      <c r="CW793">
        <v>7232786</v>
      </c>
      <c r="CY793">
        <v>1</v>
      </c>
      <c r="CZ793">
        <v>0</v>
      </c>
      <c r="DA793">
        <v>0</v>
      </c>
      <c r="DB793">
        <v>0</v>
      </c>
      <c r="DC793">
        <v>0</v>
      </c>
      <c r="DD793">
        <v>1</v>
      </c>
      <c r="DE793">
        <v>0</v>
      </c>
      <c r="DF793">
        <v>0</v>
      </c>
      <c r="DG793">
        <v>0</v>
      </c>
      <c r="DH793">
        <v>0</v>
      </c>
      <c r="DI793">
        <v>0</v>
      </c>
    </row>
    <row r="794" spans="1:113" x14ac:dyDescent="0.3">
      <c r="A794" t="str">
        <f>"09/28/2021 13:57:05.622"</f>
        <v>09/28/2021 13:57:05.622</v>
      </c>
      <c r="C794" t="str">
        <f t="shared" si="38"/>
        <v>FFDFD3C0</v>
      </c>
      <c r="D794" t="s">
        <v>113</v>
      </c>
      <c r="E794">
        <v>7</v>
      </c>
      <c r="H794">
        <v>170</v>
      </c>
      <c r="I794" t="s">
        <v>114</v>
      </c>
      <c r="J794" t="s">
        <v>115</v>
      </c>
      <c r="K794">
        <v>0</v>
      </c>
      <c r="L794">
        <v>3</v>
      </c>
      <c r="M794">
        <v>0</v>
      </c>
      <c r="N794">
        <v>2</v>
      </c>
      <c r="O794">
        <v>1</v>
      </c>
      <c r="P794">
        <v>0</v>
      </c>
      <c r="Q794">
        <v>0</v>
      </c>
      <c r="S794" t="str">
        <f>"13:57:05.438"</f>
        <v>13:57:05.438</v>
      </c>
      <c r="T794" t="str">
        <f>"13:57:05.038"</f>
        <v>13:57:05.038</v>
      </c>
      <c r="U794" t="str">
        <f t="shared" si="40"/>
        <v>A92BC1</v>
      </c>
      <c r="V794">
        <v>0</v>
      </c>
      <c r="W794">
        <v>0</v>
      </c>
      <c r="X794">
        <v>2</v>
      </c>
      <c r="Z794">
        <v>0</v>
      </c>
      <c r="AA794">
        <v>9</v>
      </c>
      <c r="AB794">
        <v>3</v>
      </c>
      <c r="AC794">
        <v>0</v>
      </c>
      <c r="AD794">
        <v>10</v>
      </c>
      <c r="AE794">
        <v>0</v>
      </c>
      <c r="AF794">
        <v>3</v>
      </c>
      <c r="AG794">
        <v>2</v>
      </c>
      <c r="AH794">
        <v>0</v>
      </c>
      <c r="AI794" t="s">
        <v>894</v>
      </c>
      <c r="AJ794">
        <v>45.821185</v>
      </c>
      <c r="AK794" t="s">
        <v>895</v>
      </c>
      <c r="AL794">
        <v>-89.219498999999999</v>
      </c>
      <c r="AM794">
        <v>100</v>
      </c>
      <c r="AN794">
        <v>13600</v>
      </c>
      <c r="AO794" t="s">
        <v>118</v>
      </c>
      <c r="AP794">
        <v>145</v>
      </c>
      <c r="AQ794">
        <v>119</v>
      </c>
      <c r="AR794">
        <v>1536</v>
      </c>
      <c r="AZ794">
        <v>1200</v>
      </c>
      <c r="BA794">
        <v>1</v>
      </c>
      <c r="BB794" t="str">
        <f t="shared" si="39"/>
        <v xml:space="preserve">N690LS  </v>
      </c>
      <c r="BC794">
        <v>1</v>
      </c>
      <c r="BE794">
        <v>0</v>
      </c>
      <c r="BF794">
        <v>0</v>
      </c>
      <c r="BG794">
        <v>0</v>
      </c>
      <c r="BH794">
        <v>14050</v>
      </c>
      <c r="BI794">
        <v>1</v>
      </c>
      <c r="BJ794">
        <v>1</v>
      </c>
      <c r="BK794">
        <v>1</v>
      </c>
      <c r="BL794">
        <v>0</v>
      </c>
      <c r="BO794">
        <v>0</v>
      </c>
      <c r="BP794">
        <v>0</v>
      </c>
      <c r="BW794" t="str">
        <f>"13:57:05.439"</f>
        <v>13:57:05.439</v>
      </c>
      <c r="CJ794">
        <v>0</v>
      </c>
      <c r="CK794">
        <v>2</v>
      </c>
      <c r="CL794">
        <v>0</v>
      </c>
      <c r="CM794">
        <v>2</v>
      </c>
      <c r="CN794">
        <v>0</v>
      </c>
      <c r="CO794">
        <v>6</v>
      </c>
      <c r="CP794" t="s">
        <v>119</v>
      </c>
      <c r="CQ794">
        <v>209</v>
      </c>
      <c r="CR794">
        <v>3</v>
      </c>
      <c r="CW794">
        <v>7232786</v>
      </c>
      <c r="CY794">
        <v>1</v>
      </c>
      <c r="CZ794">
        <v>0</v>
      </c>
      <c r="DA794">
        <v>1</v>
      </c>
      <c r="DB794">
        <v>0</v>
      </c>
      <c r="DC794">
        <v>0</v>
      </c>
      <c r="DD794">
        <v>1</v>
      </c>
      <c r="DE794">
        <v>0</v>
      </c>
      <c r="DF794">
        <v>0</v>
      </c>
      <c r="DG794">
        <v>0</v>
      </c>
      <c r="DH794">
        <v>0</v>
      </c>
      <c r="DI794">
        <v>0</v>
      </c>
    </row>
    <row r="795" spans="1:113" x14ac:dyDescent="0.3">
      <c r="A795" t="str">
        <f>"09/28/2021 13:57:06.620"</f>
        <v>09/28/2021 13:57:06.620</v>
      </c>
      <c r="C795" t="str">
        <f t="shared" si="38"/>
        <v>FFDFD3C0</v>
      </c>
      <c r="D795" t="s">
        <v>120</v>
      </c>
      <c r="E795">
        <v>12</v>
      </c>
      <c r="F795">
        <v>1012</v>
      </c>
      <c r="G795" t="s">
        <v>114</v>
      </c>
      <c r="J795" t="s">
        <v>121</v>
      </c>
      <c r="K795">
        <v>0</v>
      </c>
      <c r="L795">
        <v>3</v>
      </c>
      <c r="M795">
        <v>0</v>
      </c>
      <c r="N795">
        <v>2</v>
      </c>
      <c r="O795">
        <v>1</v>
      </c>
      <c r="P795">
        <v>0</v>
      </c>
      <c r="Q795">
        <v>0</v>
      </c>
      <c r="S795" t="str">
        <f>"13:57:06.406"</f>
        <v>13:57:06.406</v>
      </c>
      <c r="T795" t="str">
        <f>"13:57:06.006"</f>
        <v>13:57:06.006</v>
      </c>
      <c r="U795" t="str">
        <f t="shared" si="40"/>
        <v>A92BC1</v>
      </c>
      <c r="V795">
        <v>0</v>
      </c>
      <c r="W795">
        <v>0</v>
      </c>
      <c r="X795">
        <v>2</v>
      </c>
      <c r="Z795">
        <v>0</v>
      </c>
      <c r="AA795">
        <v>9</v>
      </c>
      <c r="AB795">
        <v>3</v>
      </c>
      <c r="AC795">
        <v>0</v>
      </c>
      <c r="AD795">
        <v>10</v>
      </c>
      <c r="AE795">
        <v>0</v>
      </c>
      <c r="AF795">
        <v>3</v>
      </c>
      <c r="AG795">
        <v>2</v>
      </c>
      <c r="AH795">
        <v>0</v>
      </c>
      <c r="AI795" t="s">
        <v>896</v>
      </c>
      <c r="AJ795">
        <v>45.821635999999998</v>
      </c>
      <c r="AK795" t="s">
        <v>897</v>
      </c>
      <c r="AL795">
        <v>-89.218639999999994</v>
      </c>
      <c r="AM795">
        <v>100</v>
      </c>
      <c r="AN795">
        <v>13700</v>
      </c>
      <c r="AO795" t="s">
        <v>118</v>
      </c>
      <c r="AP795">
        <v>145</v>
      </c>
      <c r="AQ795">
        <v>119</v>
      </c>
      <c r="AR795">
        <v>1536</v>
      </c>
      <c r="AZ795">
        <v>1200</v>
      </c>
      <c r="BA795">
        <v>1</v>
      </c>
      <c r="BB795" t="str">
        <f t="shared" si="39"/>
        <v xml:space="preserve">N690LS  </v>
      </c>
      <c r="BC795">
        <v>1</v>
      </c>
      <c r="BE795">
        <v>0</v>
      </c>
      <c r="BF795">
        <v>0</v>
      </c>
      <c r="BG795">
        <v>0</v>
      </c>
      <c r="BH795">
        <v>14075</v>
      </c>
      <c r="BI795">
        <v>1</v>
      </c>
      <c r="BJ795">
        <v>1</v>
      </c>
      <c r="BK795">
        <v>1</v>
      </c>
      <c r="BL795">
        <v>0</v>
      </c>
      <c r="BO795">
        <v>0</v>
      </c>
      <c r="BP795">
        <v>0</v>
      </c>
      <c r="BW795" t="str">
        <f>"13:57:06.414"</f>
        <v>13:57:06.414</v>
      </c>
      <c r="CJ795">
        <v>0</v>
      </c>
      <c r="CK795">
        <v>2</v>
      </c>
      <c r="CL795">
        <v>0</v>
      </c>
      <c r="CM795">
        <v>2</v>
      </c>
      <c r="CN795">
        <v>0</v>
      </c>
      <c r="CO795">
        <v>6</v>
      </c>
      <c r="CP795" t="s">
        <v>119</v>
      </c>
      <c r="CQ795">
        <v>209</v>
      </c>
      <c r="CR795">
        <v>3</v>
      </c>
      <c r="CW795">
        <v>7233086</v>
      </c>
      <c r="CY795">
        <v>1</v>
      </c>
      <c r="CZ795">
        <v>0</v>
      </c>
      <c r="DA795">
        <v>0</v>
      </c>
      <c r="DB795">
        <v>0</v>
      </c>
      <c r="DC795">
        <v>0</v>
      </c>
      <c r="DD795">
        <v>1</v>
      </c>
      <c r="DE795">
        <v>0</v>
      </c>
      <c r="DF795">
        <v>0</v>
      </c>
      <c r="DG795">
        <v>0</v>
      </c>
      <c r="DH795">
        <v>0</v>
      </c>
      <c r="DI795">
        <v>0</v>
      </c>
    </row>
    <row r="796" spans="1:113" x14ac:dyDescent="0.3">
      <c r="A796" t="str">
        <f>"09/28/2021 13:57:06.683"</f>
        <v>09/28/2021 13:57:06.683</v>
      </c>
      <c r="C796" t="str">
        <f t="shared" si="38"/>
        <v>FFDFD3C0</v>
      </c>
      <c r="D796" t="s">
        <v>113</v>
      </c>
      <c r="E796">
        <v>7</v>
      </c>
      <c r="H796">
        <v>170</v>
      </c>
      <c r="I796" t="s">
        <v>114</v>
      </c>
      <c r="J796" t="s">
        <v>115</v>
      </c>
      <c r="K796">
        <v>0</v>
      </c>
      <c r="L796">
        <v>3</v>
      </c>
      <c r="M796">
        <v>0</v>
      </c>
      <c r="N796">
        <v>2</v>
      </c>
      <c r="O796">
        <v>1</v>
      </c>
      <c r="P796">
        <v>0</v>
      </c>
      <c r="Q796">
        <v>0</v>
      </c>
      <c r="S796" t="str">
        <f>"13:57:06.406"</f>
        <v>13:57:06.406</v>
      </c>
      <c r="T796" t="str">
        <f>"13:57:06.006"</f>
        <v>13:57:06.006</v>
      </c>
      <c r="U796" t="str">
        <f t="shared" si="40"/>
        <v>A92BC1</v>
      </c>
      <c r="V796">
        <v>0</v>
      </c>
      <c r="W796">
        <v>0</v>
      </c>
      <c r="X796">
        <v>2</v>
      </c>
      <c r="Z796">
        <v>0</v>
      </c>
      <c r="AA796">
        <v>9</v>
      </c>
      <c r="AB796">
        <v>3</v>
      </c>
      <c r="AC796">
        <v>0</v>
      </c>
      <c r="AD796">
        <v>10</v>
      </c>
      <c r="AE796">
        <v>0</v>
      </c>
      <c r="AF796">
        <v>3</v>
      </c>
      <c r="AG796">
        <v>2</v>
      </c>
      <c r="AH796">
        <v>0</v>
      </c>
      <c r="AI796" t="s">
        <v>896</v>
      </c>
      <c r="AJ796">
        <v>45.821635999999998</v>
      </c>
      <c r="AK796" t="s">
        <v>897</v>
      </c>
      <c r="AL796">
        <v>-89.218639999999994</v>
      </c>
      <c r="AM796">
        <v>100</v>
      </c>
      <c r="AN796">
        <v>13700</v>
      </c>
      <c r="AO796" t="s">
        <v>118</v>
      </c>
      <c r="AP796">
        <v>145</v>
      </c>
      <c r="AQ796">
        <v>119</v>
      </c>
      <c r="AR796">
        <v>1536</v>
      </c>
      <c r="AZ796">
        <v>1200</v>
      </c>
      <c r="BA796">
        <v>1</v>
      </c>
      <c r="BB796" t="str">
        <f t="shared" si="39"/>
        <v xml:space="preserve">N690LS  </v>
      </c>
      <c r="BC796">
        <v>1</v>
      </c>
      <c r="BE796">
        <v>0</v>
      </c>
      <c r="BF796">
        <v>0</v>
      </c>
      <c r="BG796">
        <v>0</v>
      </c>
      <c r="BH796">
        <v>14075</v>
      </c>
      <c r="BI796">
        <v>1</v>
      </c>
      <c r="BJ796">
        <v>1</v>
      </c>
      <c r="BK796">
        <v>1</v>
      </c>
      <c r="BL796">
        <v>0</v>
      </c>
      <c r="BO796">
        <v>0</v>
      </c>
      <c r="BP796">
        <v>0</v>
      </c>
      <c r="BW796" t="str">
        <f>"13:57:06.414"</f>
        <v>13:57:06.414</v>
      </c>
      <c r="CJ796">
        <v>0</v>
      </c>
      <c r="CK796">
        <v>2</v>
      </c>
      <c r="CL796">
        <v>0</v>
      </c>
      <c r="CM796">
        <v>2</v>
      </c>
      <c r="CN796">
        <v>0</v>
      </c>
      <c r="CO796">
        <v>6</v>
      </c>
      <c r="CP796" t="s">
        <v>119</v>
      </c>
      <c r="CQ796">
        <v>209</v>
      </c>
      <c r="CR796">
        <v>3</v>
      </c>
      <c r="CW796">
        <v>7233086</v>
      </c>
      <c r="CY796">
        <v>1</v>
      </c>
      <c r="CZ796">
        <v>0</v>
      </c>
      <c r="DA796">
        <v>1</v>
      </c>
      <c r="DB796">
        <v>0</v>
      </c>
      <c r="DC796">
        <v>0</v>
      </c>
      <c r="DD796">
        <v>1</v>
      </c>
      <c r="DE796">
        <v>0</v>
      </c>
      <c r="DF796">
        <v>0</v>
      </c>
      <c r="DG796">
        <v>0</v>
      </c>
      <c r="DH796">
        <v>0</v>
      </c>
      <c r="DI796">
        <v>0</v>
      </c>
    </row>
    <row r="797" spans="1:113" x14ac:dyDescent="0.3">
      <c r="A797" t="str">
        <f>"09/28/2021 13:57:07.792"</f>
        <v>09/28/2021 13:57:07.792</v>
      </c>
      <c r="C797" t="str">
        <f t="shared" si="38"/>
        <v>FFDFD3C0</v>
      </c>
      <c r="D797" t="s">
        <v>113</v>
      </c>
      <c r="E797">
        <v>7</v>
      </c>
      <c r="H797">
        <v>170</v>
      </c>
      <c r="I797" t="s">
        <v>114</v>
      </c>
      <c r="J797" t="s">
        <v>115</v>
      </c>
      <c r="K797">
        <v>0</v>
      </c>
      <c r="L797">
        <v>3</v>
      </c>
      <c r="M797">
        <v>0</v>
      </c>
      <c r="N797">
        <v>2</v>
      </c>
      <c r="O797">
        <v>1</v>
      </c>
      <c r="P797">
        <v>0</v>
      </c>
      <c r="Q797">
        <v>0</v>
      </c>
      <c r="S797" t="str">
        <f>"13:57:07.570"</f>
        <v>13:57:07.570</v>
      </c>
      <c r="T797" t="str">
        <f>"13:57:07.070"</f>
        <v>13:57:07.070</v>
      </c>
      <c r="U797" t="str">
        <f t="shared" si="40"/>
        <v>A92BC1</v>
      </c>
      <c r="V797">
        <v>0</v>
      </c>
      <c r="W797">
        <v>0</v>
      </c>
      <c r="X797">
        <v>2</v>
      </c>
      <c r="Z797">
        <v>0</v>
      </c>
      <c r="AA797">
        <v>9</v>
      </c>
      <c r="AB797">
        <v>3</v>
      </c>
      <c r="AC797">
        <v>0</v>
      </c>
      <c r="AD797">
        <v>10</v>
      </c>
      <c r="AE797">
        <v>0</v>
      </c>
      <c r="AF797">
        <v>3</v>
      </c>
      <c r="AG797">
        <v>2</v>
      </c>
      <c r="AH797">
        <v>0</v>
      </c>
      <c r="AI797" t="s">
        <v>898</v>
      </c>
      <c r="AJ797">
        <v>45.822322</v>
      </c>
      <c r="AK797" t="s">
        <v>899</v>
      </c>
      <c r="AL797">
        <v>-89.217482000000004</v>
      </c>
      <c r="AM797">
        <v>100</v>
      </c>
      <c r="AN797">
        <v>13700</v>
      </c>
      <c r="AO797" t="s">
        <v>118</v>
      </c>
      <c r="AP797">
        <v>145</v>
      </c>
      <c r="AQ797">
        <v>119</v>
      </c>
      <c r="AR797">
        <v>1536</v>
      </c>
      <c r="AZ797">
        <v>1200</v>
      </c>
      <c r="BA797">
        <v>1</v>
      </c>
      <c r="BB797" t="str">
        <f t="shared" si="39"/>
        <v xml:space="preserve">N690LS  </v>
      </c>
      <c r="BC797">
        <v>1</v>
      </c>
      <c r="BE797">
        <v>0</v>
      </c>
      <c r="BF797">
        <v>0</v>
      </c>
      <c r="BG797">
        <v>0</v>
      </c>
      <c r="BH797">
        <v>14100</v>
      </c>
      <c r="BI797">
        <v>1</v>
      </c>
      <c r="BJ797">
        <v>1</v>
      </c>
      <c r="BK797">
        <v>1</v>
      </c>
      <c r="BL797">
        <v>0</v>
      </c>
      <c r="BO797">
        <v>0</v>
      </c>
      <c r="BP797">
        <v>0</v>
      </c>
      <c r="BW797" t="str">
        <f>"13:57:07.575"</f>
        <v>13:57:07.575</v>
      </c>
      <c r="CJ797">
        <v>0</v>
      </c>
      <c r="CK797">
        <v>2</v>
      </c>
      <c r="CL797">
        <v>0</v>
      </c>
      <c r="CM797">
        <v>2</v>
      </c>
      <c r="CN797">
        <v>0</v>
      </c>
      <c r="CO797">
        <v>6</v>
      </c>
      <c r="CP797" t="s">
        <v>119</v>
      </c>
      <c r="CQ797">
        <v>209</v>
      </c>
      <c r="CR797">
        <v>3</v>
      </c>
      <c r="CW797">
        <v>7233442</v>
      </c>
      <c r="CY797">
        <v>1</v>
      </c>
      <c r="CZ797">
        <v>0</v>
      </c>
      <c r="DA797">
        <v>0</v>
      </c>
      <c r="DB797">
        <v>0</v>
      </c>
      <c r="DC797">
        <v>0</v>
      </c>
      <c r="DD797">
        <v>1</v>
      </c>
      <c r="DE797">
        <v>0</v>
      </c>
      <c r="DF797">
        <v>0</v>
      </c>
      <c r="DG797">
        <v>0</v>
      </c>
      <c r="DH797">
        <v>0</v>
      </c>
      <c r="DI797">
        <v>0</v>
      </c>
    </row>
    <row r="798" spans="1:113" x14ac:dyDescent="0.3">
      <c r="A798" t="str">
        <f>"09/28/2021 13:57:07.808"</f>
        <v>09/28/2021 13:57:07.808</v>
      </c>
      <c r="C798" t="str">
        <f t="shared" si="38"/>
        <v>FFDFD3C0</v>
      </c>
      <c r="D798" t="s">
        <v>120</v>
      </c>
      <c r="E798">
        <v>12</v>
      </c>
      <c r="F798">
        <v>1012</v>
      </c>
      <c r="G798" t="s">
        <v>114</v>
      </c>
      <c r="J798" t="s">
        <v>121</v>
      </c>
      <c r="K798">
        <v>0</v>
      </c>
      <c r="L798">
        <v>3</v>
      </c>
      <c r="M798">
        <v>0</v>
      </c>
      <c r="N798">
        <v>2</v>
      </c>
      <c r="O798">
        <v>1</v>
      </c>
      <c r="P798">
        <v>0</v>
      </c>
      <c r="Q798">
        <v>0</v>
      </c>
      <c r="S798" t="str">
        <f>"13:57:07.570"</f>
        <v>13:57:07.570</v>
      </c>
      <c r="T798" t="str">
        <f>"13:57:07.070"</f>
        <v>13:57:07.070</v>
      </c>
      <c r="U798" t="str">
        <f t="shared" si="40"/>
        <v>A92BC1</v>
      </c>
      <c r="V798">
        <v>0</v>
      </c>
      <c r="W798">
        <v>0</v>
      </c>
      <c r="X798">
        <v>2</v>
      </c>
      <c r="Z798">
        <v>0</v>
      </c>
      <c r="AA798">
        <v>9</v>
      </c>
      <c r="AB798">
        <v>3</v>
      </c>
      <c r="AC798">
        <v>0</v>
      </c>
      <c r="AD798">
        <v>10</v>
      </c>
      <c r="AE798">
        <v>0</v>
      </c>
      <c r="AF798">
        <v>3</v>
      </c>
      <c r="AG798">
        <v>2</v>
      </c>
      <c r="AH798">
        <v>0</v>
      </c>
      <c r="AI798" t="s">
        <v>898</v>
      </c>
      <c r="AJ798">
        <v>45.822322</v>
      </c>
      <c r="AK798" t="s">
        <v>899</v>
      </c>
      <c r="AL798">
        <v>-89.217482000000004</v>
      </c>
      <c r="AM798">
        <v>100</v>
      </c>
      <c r="AN798">
        <v>13700</v>
      </c>
      <c r="AO798" t="s">
        <v>118</v>
      </c>
      <c r="AP798">
        <v>145</v>
      </c>
      <c r="AQ798">
        <v>119</v>
      </c>
      <c r="AR798">
        <v>1536</v>
      </c>
      <c r="AZ798">
        <v>1200</v>
      </c>
      <c r="BA798">
        <v>1</v>
      </c>
      <c r="BB798" t="str">
        <f t="shared" si="39"/>
        <v xml:space="preserve">N690LS  </v>
      </c>
      <c r="BC798">
        <v>1</v>
      </c>
      <c r="BE798">
        <v>0</v>
      </c>
      <c r="BF798">
        <v>0</v>
      </c>
      <c r="BG798">
        <v>0</v>
      </c>
      <c r="BH798">
        <v>14100</v>
      </c>
      <c r="BI798">
        <v>1</v>
      </c>
      <c r="BJ798">
        <v>1</v>
      </c>
      <c r="BK798">
        <v>1</v>
      </c>
      <c r="BL798">
        <v>0</v>
      </c>
      <c r="BO798">
        <v>0</v>
      </c>
      <c r="BP798">
        <v>0</v>
      </c>
      <c r="BW798" t="str">
        <f>"13:57:07.575"</f>
        <v>13:57:07.575</v>
      </c>
      <c r="CJ798">
        <v>0</v>
      </c>
      <c r="CK798">
        <v>2</v>
      </c>
      <c r="CL798">
        <v>0</v>
      </c>
      <c r="CM798">
        <v>2</v>
      </c>
      <c r="CN798">
        <v>0</v>
      </c>
      <c r="CO798">
        <v>6</v>
      </c>
      <c r="CP798" t="s">
        <v>119</v>
      </c>
      <c r="CQ798">
        <v>209</v>
      </c>
      <c r="CR798">
        <v>3</v>
      </c>
      <c r="CW798">
        <v>7233442</v>
      </c>
      <c r="CY798">
        <v>1</v>
      </c>
      <c r="CZ798">
        <v>0</v>
      </c>
      <c r="DA798">
        <v>1</v>
      </c>
      <c r="DB798">
        <v>0</v>
      </c>
      <c r="DC798">
        <v>0</v>
      </c>
      <c r="DD798">
        <v>1</v>
      </c>
      <c r="DE798">
        <v>0</v>
      </c>
      <c r="DF798">
        <v>0</v>
      </c>
      <c r="DG798">
        <v>0</v>
      </c>
      <c r="DH798">
        <v>0</v>
      </c>
      <c r="DI798">
        <v>0</v>
      </c>
    </row>
    <row r="799" spans="1:113" x14ac:dyDescent="0.3">
      <c r="A799" t="str">
        <f>"09/28/2021 13:57:08.714"</f>
        <v>09/28/2021 13:57:08.714</v>
      </c>
      <c r="C799" t="str">
        <f t="shared" si="38"/>
        <v>FFDFD3C0</v>
      </c>
      <c r="D799" t="s">
        <v>113</v>
      </c>
      <c r="E799">
        <v>7</v>
      </c>
      <c r="H799">
        <v>170</v>
      </c>
      <c r="I799" t="s">
        <v>114</v>
      </c>
      <c r="J799" t="s">
        <v>115</v>
      </c>
      <c r="K799">
        <v>0</v>
      </c>
      <c r="L799">
        <v>3</v>
      </c>
      <c r="M799">
        <v>0</v>
      </c>
      <c r="N799">
        <v>2</v>
      </c>
      <c r="O799">
        <v>1</v>
      </c>
      <c r="P799">
        <v>0</v>
      </c>
      <c r="Q799">
        <v>0</v>
      </c>
      <c r="S799" t="str">
        <f>"13:57:08.539"</f>
        <v>13:57:08.539</v>
      </c>
      <c r="T799" t="str">
        <f>"13:57:08.039"</f>
        <v>13:57:08.039</v>
      </c>
      <c r="U799" t="str">
        <f t="shared" si="40"/>
        <v>A92BC1</v>
      </c>
      <c r="V799">
        <v>0</v>
      </c>
      <c r="W799">
        <v>0</v>
      </c>
      <c r="X799">
        <v>2</v>
      </c>
      <c r="Z799">
        <v>0</v>
      </c>
      <c r="AA799">
        <v>9</v>
      </c>
      <c r="AB799">
        <v>3</v>
      </c>
      <c r="AC799">
        <v>0</v>
      </c>
      <c r="AD799">
        <v>10</v>
      </c>
      <c r="AE799">
        <v>0</v>
      </c>
      <c r="AF799">
        <v>3</v>
      </c>
      <c r="AG799">
        <v>2</v>
      </c>
      <c r="AH799">
        <v>0</v>
      </c>
      <c r="AI799" t="s">
        <v>900</v>
      </c>
      <c r="AJ799">
        <v>45.822879999999998</v>
      </c>
      <c r="AK799" t="s">
        <v>901</v>
      </c>
      <c r="AL799">
        <v>-89.216559000000004</v>
      </c>
      <c r="AM799">
        <v>100</v>
      </c>
      <c r="AN799">
        <v>13700</v>
      </c>
      <c r="AO799" t="s">
        <v>118</v>
      </c>
      <c r="AP799">
        <v>145</v>
      </c>
      <c r="AQ799">
        <v>119</v>
      </c>
      <c r="AR799">
        <v>1536</v>
      </c>
      <c r="AZ799">
        <v>1200</v>
      </c>
      <c r="BA799">
        <v>1</v>
      </c>
      <c r="BB799" t="str">
        <f t="shared" si="39"/>
        <v xml:space="preserve">N690LS  </v>
      </c>
      <c r="BC799">
        <v>1</v>
      </c>
      <c r="BE799">
        <v>0</v>
      </c>
      <c r="BF799">
        <v>0</v>
      </c>
      <c r="BG799">
        <v>0</v>
      </c>
      <c r="BH799">
        <v>14125</v>
      </c>
      <c r="BI799">
        <v>1</v>
      </c>
      <c r="BJ799">
        <v>1</v>
      </c>
      <c r="BK799">
        <v>1</v>
      </c>
      <c r="BL799">
        <v>0</v>
      </c>
      <c r="BO799">
        <v>0</v>
      </c>
      <c r="BP799">
        <v>0</v>
      </c>
      <c r="BW799" t="str">
        <f>"13:57:08.541"</f>
        <v>13:57:08.541</v>
      </c>
      <c r="CJ799">
        <v>0</v>
      </c>
      <c r="CK799">
        <v>2</v>
      </c>
      <c r="CL799">
        <v>0</v>
      </c>
      <c r="CM799">
        <v>2</v>
      </c>
      <c r="CN799">
        <v>0</v>
      </c>
      <c r="CO799">
        <v>6</v>
      </c>
      <c r="CP799" t="s">
        <v>119</v>
      </c>
      <c r="CQ799">
        <v>209</v>
      </c>
      <c r="CR799">
        <v>3</v>
      </c>
      <c r="CW799">
        <v>7233763</v>
      </c>
      <c r="CY799">
        <v>1</v>
      </c>
      <c r="CZ799">
        <v>0</v>
      </c>
      <c r="DA799">
        <v>0</v>
      </c>
      <c r="DB799">
        <v>0</v>
      </c>
      <c r="DC799">
        <v>0</v>
      </c>
      <c r="DD799">
        <v>1</v>
      </c>
      <c r="DE799">
        <v>0</v>
      </c>
      <c r="DF799">
        <v>0</v>
      </c>
      <c r="DG799">
        <v>0</v>
      </c>
      <c r="DH799">
        <v>0</v>
      </c>
      <c r="DI799">
        <v>0</v>
      </c>
    </row>
    <row r="800" spans="1:113" x14ac:dyDescent="0.3">
      <c r="A800" t="str">
        <f>"09/28/2021 13:57:08.777"</f>
        <v>09/28/2021 13:57:08.777</v>
      </c>
      <c r="C800" t="str">
        <f t="shared" si="38"/>
        <v>FFDFD3C0</v>
      </c>
      <c r="D800" t="s">
        <v>120</v>
      </c>
      <c r="E800">
        <v>12</v>
      </c>
      <c r="F800">
        <v>1012</v>
      </c>
      <c r="G800" t="s">
        <v>114</v>
      </c>
      <c r="J800" t="s">
        <v>121</v>
      </c>
      <c r="K800">
        <v>0</v>
      </c>
      <c r="L800">
        <v>3</v>
      </c>
      <c r="M800">
        <v>0</v>
      </c>
      <c r="N800">
        <v>2</v>
      </c>
      <c r="O800">
        <v>1</v>
      </c>
      <c r="P800">
        <v>0</v>
      </c>
      <c r="Q800">
        <v>0</v>
      </c>
      <c r="S800" t="str">
        <f>"13:57:08.539"</f>
        <v>13:57:08.539</v>
      </c>
      <c r="T800" t="str">
        <f>"13:57:08.039"</f>
        <v>13:57:08.039</v>
      </c>
      <c r="U800" t="str">
        <f t="shared" si="40"/>
        <v>A92BC1</v>
      </c>
      <c r="V800">
        <v>0</v>
      </c>
      <c r="W800">
        <v>0</v>
      </c>
      <c r="X800">
        <v>2</v>
      </c>
      <c r="Z800">
        <v>0</v>
      </c>
      <c r="AA800">
        <v>9</v>
      </c>
      <c r="AB800">
        <v>3</v>
      </c>
      <c r="AC800">
        <v>0</v>
      </c>
      <c r="AD800">
        <v>10</v>
      </c>
      <c r="AE800">
        <v>0</v>
      </c>
      <c r="AF800">
        <v>3</v>
      </c>
      <c r="AG800">
        <v>2</v>
      </c>
      <c r="AH800">
        <v>0</v>
      </c>
      <c r="AI800" t="s">
        <v>900</v>
      </c>
      <c r="AJ800">
        <v>45.822879999999998</v>
      </c>
      <c r="AK800" t="s">
        <v>901</v>
      </c>
      <c r="AL800">
        <v>-89.216559000000004</v>
      </c>
      <c r="AM800">
        <v>100</v>
      </c>
      <c r="AN800">
        <v>13700</v>
      </c>
      <c r="AO800" t="s">
        <v>118</v>
      </c>
      <c r="AP800">
        <v>145</v>
      </c>
      <c r="AQ800">
        <v>119</v>
      </c>
      <c r="AR800">
        <v>1536</v>
      </c>
      <c r="AZ800">
        <v>1200</v>
      </c>
      <c r="BA800">
        <v>1</v>
      </c>
      <c r="BB800" t="str">
        <f t="shared" si="39"/>
        <v xml:space="preserve">N690LS  </v>
      </c>
      <c r="BC800">
        <v>1</v>
      </c>
      <c r="BE800">
        <v>0</v>
      </c>
      <c r="BF800">
        <v>0</v>
      </c>
      <c r="BG800">
        <v>0</v>
      </c>
      <c r="BH800">
        <v>14125</v>
      </c>
      <c r="BI800">
        <v>1</v>
      </c>
      <c r="BJ800">
        <v>1</v>
      </c>
      <c r="BK800">
        <v>1</v>
      </c>
      <c r="BL800">
        <v>0</v>
      </c>
      <c r="BO800">
        <v>0</v>
      </c>
      <c r="BP800">
        <v>0</v>
      </c>
      <c r="BW800" t="str">
        <f>"13:57:08.541"</f>
        <v>13:57:08.541</v>
      </c>
      <c r="CJ800">
        <v>0</v>
      </c>
      <c r="CK800">
        <v>2</v>
      </c>
      <c r="CL800">
        <v>0</v>
      </c>
      <c r="CM800">
        <v>2</v>
      </c>
      <c r="CN800">
        <v>0</v>
      </c>
      <c r="CO800">
        <v>6</v>
      </c>
      <c r="CP800" t="s">
        <v>119</v>
      </c>
      <c r="CQ800">
        <v>209</v>
      </c>
      <c r="CR800">
        <v>3</v>
      </c>
      <c r="CW800">
        <v>7233763</v>
      </c>
      <c r="CY800">
        <v>1</v>
      </c>
      <c r="CZ800">
        <v>0</v>
      </c>
      <c r="DA800">
        <v>1</v>
      </c>
      <c r="DB800">
        <v>0</v>
      </c>
      <c r="DC800">
        <v>0</v>
      </c>
      <c r="DD800">
        <v>1</v>
      </c>
      <c r="DE800">
        <v>0</v>
      </c>
      <c r="DF800">
        <v>0</v>
      </c>
      <c r="DG800">
        <v>0</v>
      </c>
      <c r="DH800">
        <v>0</v>
      </c>
      <c r="DI800">
        <v>0</v>
      </c>
    </row>
    <row r="801" spans="1:113" x14ac:dyDescent="0.3">
      <c r="A801" t="str">
        <f>"09/28/2021 13:57:09.715"</f>
        <v>09/28/2021 13:57:09.715</v>
      </c>
      <c r="C801" t="str">
        <f t="shared" si="38"/>
        <v>FFDFD3C0</v>
      </c>
      <c r="D801" t="s">
        <v>120</v>
      </c>
      <c r="E801">
        <v>12</v>
      </c>
      <c r="F801">
        <v>1012</v>
      </c>
      <c r="G801" t="s">
        <v>114</v>
      </c>
      <c r="J801" t="s">
        <v>121</v>
      </c>
      <c r="K801">
        <v>0</v>
      </c>
      <c r="L801">
        <v>3</v>
      </c>
      <c r="M801">
        <v>0</v>
      </c>
      <c r="N801">
        <v>2</v>
      </c>
      <c r="O801">
        <v>1</v>
      </c>
      <c r="P801">
        <v>0</v>
      </c>
      <c r="Q801">
        <v>0</v>
      </c>
      <c r="S801" t="str">
        <f>"13:57:09.500"</f>
        <v>13:57:09.500</v>
      </c>
      <c r="T801" t="str">
        <f>"13:57:09.100"</f>
        <v>13:57:09.100</v>
      </c>
      <c r="U801" t="str">
        <f t="shared" si="40"/>
        <v>A92BC1</v>
      </c>
      <c r="V801">
        <v>0</v>
      </c>
      <c r="W801">
        <v>0</v>
      </c>
      <c r="X801">
        <v>2</v>
      </c>
      <c r="Z801">
        <v>0</v>
      </c>
      <c r="AA801">
        <v>9</v>
      </c>
      <c r="AB801">
        <v>3</v>
      </c>
      <c r="AC801">
        <v>0</v>
      </c>
      <c r="AD801">
        <v>10</v>
      </c>
      <c r="AE801">
        <v>0</v>
      </c>
      <c r="AF801">
        <v>3</v>
      </c>
      <c r="AG801">
        <v>2</v>
      </c>
      <c r="AH801">
        <v>0</v>
      </c>
      <c r="AI801" t="s">
        <v>902</v>
      </c>
      <c r="AJ801">
        <v>45.823374000000001</v>
      </c>
      <c r="AK801" t="s">
        <v>903</v>
      </c>
      <c r="AL801">
        <v>-89.215636000000003</v>
      </c>
      <c r="AM801">
        <v>100</v>
      </c>
      <c r="AN801">
        <v>13700</v>
      </c>
      <c r="AO801" t="s">
        <v>118</v>
      </c>
      <c r="AP801">
        <v>145</v>
      </c>
      <c r="AQ801">
        <v>119</v>
      </c>
      <c r="AR801">
        <v>1536</v>
      </c>
      <c r="AZ801">
        <v>1200</v>
      </c>
      <c r="BA801">
        <v>1</v>
      </c>
      <c r="BB801" t="str">
        <f t="shared" si="39"/>
        <v xml:space="preserve">N690LS  </v>
      </c>
      <c r="BC801">
        <v>1</v>
      </c>
      <c r="BE801">
        <v>0</v>
      </c>
      <c r="BF801">
        <v>0</v>
      </c>
      <c r="BG801">
        <v>0</v>
      </c>
      <c r="BH801">
        <v>14175</v>
      </c>
      <c r="BI801">
        <v>1</v>
      </c>
      <c r="BJ801">
        <v>1</v>
      </c>
      <c r="BK801">
        <v>1</v>
      </c>
      <c r="BL801">
        <v>0</v>
      </c>
      <c r="BO801">
        <v>0</v>
      </c>
      <c r="BP801">
        <v>0</v>
      </c>
      <c r="BW801" t="str">
        <f>"13:57:09.506"</f>
        <v>13:57:09.506</v>
      </c>
      <c r="CJ801">
        <v>0</v>
      </c>
      <c r="CK801">
        <v>2</v>
      </c>
      <c r="CL801">
        <v>0</v>
      </c>
      <c r="CM801">
        <v>2</v>
      </c>
      <c r="CN801">
        <v>0</v>
      </c>
      <c r="CO801">
        <v>6</v>
      </c>
      <c r="CP801" t="s">
        <v>119</v>
      </c>
      <c r="CQ801">
        <v>209</v>
      </c>
      <c r="CR801">
        <v>2</v>
      </c>
      <c r="CW801">
        <v>11792023</v>
      </c>
      <c r="CY801">
        <v>1</v>
      </c>
      <c r="CZ801">
        <v>0</v>
      </c>
      <c r="DA801">
        <v>0</v>
      </c>
      <c r="DB801">
        <v>0</v>
      </c>
      <c r="DC801">
        <v>0</v>
      </c>
      <c r="DD801">
        <v>1</v>
      </c>
      <c r="DE801">
        <v>0</v>
      </c>
      <c r="DF801">
        <v>0</v>
      </c>
      <c r="DG801">
        <v>0</v>
      </c>
      <c r="DH801">
        <v>0</v>
      </c>
      <c r="DI801">
        <v>0</v>
      </c>
    </row>
    <row r="802" spans="1:113" x14ac:dyDescent="0.3">
      <c r="A802" t="str">
        <f>"09/28/2021 13:57:09.746"</f>
        <v>09/28/2021 13:57:09.746</v>
      </c>
      <c r="C802" t="str">
        <f t="shared" si="38"/>
        <v>FFDFD3C0</v>
      </c>
      <c r="D802" t="s">
        <v>113</v>
      </c>
      <c r="E802">
        <v>7</v>
      </c>
      <c r="H802">
        <v>170</v>
      </c>
      <c r="I802" t="s">
        <v>114</v>
      </c>
      <c r="J802" t="s">
        <v>115</v>
      </c>
      <c r="K802">
        <v>0</v>
      </c>
      <c r="L802">
        <v>3</v>
      </c>
      <c r="M802">
        <v>0</v>
      </c>
      <c r="N802">
        <v>2</v>
      </c>
      <c r="O802">
        <v>1</v>
      </c>
      <c r="P802">
        <v>0</v>
      </c>
      <c r="Q802">
        <v>0</v>
      </c>
      <c r="S802" t="str">
        <f>"13:57:09.500"</f>
        <v>13:57:09.500</v>
      </c>
      <c r="T802" t="str">
        <f>"13:57:09.100"</f>
        <v>13:57:09.100</v>
      </c>
      <c r="U802" t="str">
        <f t="shared" si="40"/>
        <v>A92BC1</v>
      </c>
      <c r="V802">
        <v>0</v>
      </c>
      <c r="W802">
        <v>0</v>
      </c>
      <c r="X802">
        <v>2</v>
      </c>
      <c r="Z802">
        <v>0</v>
      </c>
      <c r="AA802">
        <v>9</v>
      </c>
      <c r="AB802">
        <v>3</v>
      </c>
      <c r="AC802">
        <v>0</v>
      </c>
      <c r="AD802">
        <v>10</v>
      </c>
      <c r="AE802">
        <v>0</v>
      </c>
      <c r="AF802">
        <v>3</v>
      </c>
      <c r="AG802">
        <v>2</v>
      </c>
      <c r="AH802">
        <v>0</v>
      </c>
      <c r="AI802" t="s">
        <v>902</v>
      </c>
      <c r="AJ802">
        <v>45.823374000000001</v>
      </c>
      <c r="AK802" t="s">
        <v>903</v>
      </c>
      <c r="AL802">
        <v>-89.215636000000003</v>
      </c>
      <c r="AM802">
        <v>100</v>
      </c>
      <c r="AN802">
        <v>13700</v>
      </c>
      <c r="AO802" t="s">
        <v>118</v>
      </c>
      <c r="AP802">
        <v>145</v>
      </c>
      <c r="AQ802">
        <v>119</v>
      </c>
      <c r="AR802">
        <v>1536</v>
      </c>
      <c r="AZ802">
        <v>1200</v>
      </c>
      <c r="BA802">
        <v>1</v>
      </c>
      <c r="BB802" t="str">
        <f t="shared" si="39"/>
        <v xml:space="preserve">N690LS  </v>
      </c>
      <c r="BC802">
        <v>1</v>
      </c>
      <c r="BE802">
        <v>0</v>
      </c>
      <c r="BF802">
        <v>0</v>
      </c>
      <c r="BG802">
        <v>0</v>
      </c>
      <c r="BH802">
        <v>14175</v>
      </c>
      <c r="BI802">
        <v>1</v>
      </c>
      <c r="BJ802">
        <v>1</v>
      </c>
      <c r="BK802">
        <v>1</v>
      </c>
      <c r="BL802">
        <v>0</v>
      </c>
      <c r="BO802">
        <v>0</v>
      </c>
      <c r="BP802">
        <v>0</v>
      </c>
      <c r="BW802" t="str">
        <f>"13:57:09.506"</f>
        <v>13:57:09.506</v>
      </c>
      <c r="CJ802">
        <v>0</v>
      </c>
      <c r="CK802">
        <v>2</v>
      </c>
      <c r="CL802">
        <v>0</v>
      </c>
      <c r="CM802">
        <v>2</v>
      </c>
      <c r="CN802">
        <v>0</v>
      </c>
      <c r="CO802">
        <v>6</v>
      </c>
      <c r="CP802" t="s">
        <v>119</v>
      </c>
      <c r="CQ802">
        <v>209</v>
      </c>
      <c r="CR802">
        <v>2</v>
      </c>
      <c r="CW802">
        <v>11792023</v>
      </c>
      <c r="CY802">
        <v>1</v>
      </c>
      <c r="CZ802">
        <v>0</v>
      </c>
      <c r="DA802">
        <v>1</v>
      </c>
      <c r="DB802">
        <v>0</v>
      </c>
      <c r="DC802">
        <v>0</v>
      </c>
      <c r="DD802">
        <v>1</v>
      </c>
      <c r="DE802">
        <v>0</v>
      </c>
      <c r="DF802">
        <v>0</v>
      </c>
      <c r="DG802">
        <v>0</v>
      </c>
      <c r="DH802">
        <v>0</v>
      </c>
      <c r="DI802">
        <v>0</v>
      </c>
    </row>
    <row r="803" spans="1:113" x14ac:dyDescent="0.3">
      <c r="A803" t="str">
        <f>"09/28/2021 13:57:10.653"</f>
        <v>09/28/2021 13:57:10.653</v>
      </c>
      <c r="C803" t="str">
        <f t="shared" si="38"/>
        <v>FFDFD3C0</v>
      </c>
      <c r="D803" t="s">
        <v>113</v>
      </c>
      <c r="E803">
        <v>7</v>
      </c>
      <c r="H803">
        <v>170</v>
      </c>
      <c r="I803" t="s">
        <v>114</v>
      </c>
      <c r="J803" t="s">
        <v>115</v>
      </c>
      <c r="K803">
        <v>0</v>
      </c>
      <c r="L803">
        <v>3</v>
      </c>
      <c r="M803">
        <v>0</v>
      </c>
      <c r="N803">
        <v>2</v>
      </c>
      <c r="O803">
        <v>1</v>
      </c>
      <c r="P803">
        <v>0</v>
      </c>
      <c r="Q803">
        <v>0</v>
      </c>
      <c r="S803" t="str">
        <f>"13:57:10.453"</f>
        <v>13:57:10.453</v>
      </c>
      <c r="T803" t="str">
        <f>"13:57:09.953"</f>
        <v>13:57:09.953</v>
      </c>
      <c r="U803" t="str">
        <f t="shared" si="40"/>
        <v>A92BC1</v>
      </c>
      <c r="V803">
        <v>0</v>
      </c>
      <c r="W803">
        <v>0</v>
      </c>
      <c r="X803">
        <v>2</v>
      </c>
      <c r="Z803">
        <v>0</v>
      </c>
      <c r="AA803">
        <v>9</v>
      </c>
      <c r="AB803">
        <v>3</v>
      </c>
      <c r="AC803">
        <v>0</v>
      </c>
      <c r="AD803">
        <v>10</v>
      </c>
      <c r="AE803">
        <v>0</v>
      </c>
      <c r="AF803">
        <v>3</v>
      </c>
      <c r="AG803">
        <v>2</v>
      </c>
      <c r="AH803">
        <v>0</v>
      </c>
      <c r="AI803" t="s">
        <v>904</v>
      </c>
      <c r="AJ803">
        <v>45.823931999999999</v>
      </c>
      <c r="AK803" t="s">
        <v>905</v>
      </c>
      <c r="AL803">
        <v>-89.214755999999994</v>
      </c>
      <c r="AM803">
        <v>100</v>
      </c>
      <c r="AN803">
        <v>13700</v>
      </c>
      <c r="AO803" t="s">
        <v>118</v>
      </c>
      <c r="AP803">
        <v>144</v>
      </c>
      <c r="AQ803">
        <v>119</v>
      </c>
      <c r="AR803">
        <v>1536</v>
      </c>
      <c r="AZ803">
        <v>1200</v>
      </c>
      <c r="BA803">
        <v>1</v>
      </c>
      <c r="BB803" t="str">
        <f t="shared" si="39"/>
        <v xml:space="preserve">N690LS  </v>
      </c>
      <c r="BC803">
        <v>1</v>
      </c>
      <c r="BE803">
        <v>0</v>
      </c>
      <c r="BF803">
        <v>0</v>
      </c>
      <c r="BG803">
        <v>0</v>
      </c>
      <c r="BH803">
        <v>14200</v>
      </c>
      <c r="BI803">
        <v>1</v>
      </c>
      <c r="BJ803">
        <v>1</v>
      </c>
      <c r="BK803">
        <v>1</v>
      </c>
      <c r="BL803">
        <v>0</v>
      </c>
      <c r="BO803">
        <v>0</v>
      </c>
      <c r="BP803">
        <v>0</v>
      </c>
      <c r="BW803" t="str">
        <f>"13:57:10.459"</f>
        <v>13:57:10.459</v>
      </c>
      <c r="CJ803">
        <v>0</v>
      </c>
      <c r="CK803">
        <v>2</v>
      </c>
      <c r="CL803">
        <v>0</v>
      </c>
      <c r="CM803">
        <v>2</v>
      </c>
      <c r="CN803">
        <v>0</v>
      </c>
      <c r="CO803">
        <v>7</v>
      </c>
      <c r="CP803" t="s">
        <v>119</v>
      </c>
      <c r="CQ803">
        <v>197</v>
      </c>
      <c r="CR803">
        <v>0</v>
      </c>
      <c r="CW803">
        <v>16053972</v>
      </c>
      <c r="CY803">
        <v>1</v>
      </c>
      <c r="CZ803">
        <v>0</v>
      </c>
      <c r="DA803">
        <v>0</v>
      </c>
      <c r="DB803">
        <v>0</v>
      </c>
      <c r="DC803">
        <v>0</v>
      </c>
      <c r="DD803">
        <v>1</v>
      </c>
      <c r="DE803">
        <v>0</v>
      </c>
      <c r="DF803">
        <v>0</v>
      </c>
      <c r="DG803">
        <v>0</v>
      </c>
      <c r="DH803">
        <v>0</v>
      </c>
      <c r="DI803">
        <v>0</v>
      </c>
    </row>
    <row r="804" spans="1:113" x14ac:dyDescent="0.3">
      <c r="A804" t="str">
        <f>"09/28/2021 13:57:10.668"</f>
        <v>09/28/2021 13:57:10.668</v>
      </c>
      <c r="C804" t="str">
        <f t="shared" si="38"/>
        <v>FFDFD3C0</v>
      </c>
      <c r="D804" t="s">
        <v>120</v>
      </c>
      <c r="E804">
        <v>12</v>
      </c>
      <c r="F804">
        <v>1012</v>
      </c>
      <c r="G804" t="s">
        <v>114</v>
      </c>
      <c r="J804" t="s">
        <v>121</v>
      </c>
      <c r="K804">
        <v>0</v>
      </c>
      <c r="L804">
        <v>3</v>
      </c>
      <c r="M804">
        <v>0</v>
      </c>
      <c r="N804">
        <v>2</v>
      </c>
      <c r="O804">
        <v>1</v>
      </c>
      <c r="P804">
        <v>0</v>
      </c>
      <c r="Q804">
        <v>0</v>
      </c>
      <c r="S804" t="str">
        <f>"13:57:10.453"</f>
        <v>13:57:10.453</v>
      </c>
      <c r="T804" t="str">
        <f>"13:57:09.953"</f>
        <v>13:57:09.953</v>
      </c>
      <c r="U804" t="str">
        <f t="shared" si="40"/>
        <v>A92BC1</v>
      </c>
      <c r="V804">
        <v>0</v>
      </c>
      <c r="W804">
        <v>0</v>
      </c>
      <c r="X804">
        <v>2</v>
      </c>
      <c r="Z804">
        <v>0</v>
      </c>
      <c r="AA804">
        <v>9</v>
      </c>
      <c r="AB804">
        <v>3</v>
      </c>
      <c r="AC804">
        <v>0</v>
      </c>
      <c r="AD804">
        <v>10</v>
      </c>
      <c r="AE804">
        <v>0</v>
      </c>
      <c r="AF804">
        <v>3</v>
      </c>
      <c r="AG804">
        <v>2</v>
      </c>
      <c r="AH804">
        <v>0</v>
      </c>
      <c r="AI804" t="s">
        <v>904</v>
      </c>
      <c r="AJ804">
        <v>45.823931999999999</v>
      </c>
      <c r="AK804" t="s">
        <v>905</v>
      </c>
      <c r="AL804">
        <v>-89.214755999999994</v>
      </c>
      <c r="AM804">
        <v>100</v>
      </c>
      <c r="AN804">
        <v>13700</v>
      </c>
      <c r="AO804" t="s">
        <v>118</v>
      </c>
      <c r="AP804">
        <v>144</v>
      </c>
      <c r="AQ804">
        <v>119</v>
      </c>
      <c r="AR804">
        <v>1536</v>
      </c>
      <c r="AZ804">
        <v>1200</v>
      </c>
      <c r="BA804">
        <v>1</v>
      </c>
      <c r="BB804" t="str">
        <f t="shared" si="39"/>
        <v xml:space="preserve">N690LS  </v>
      </c>
      <c r="BC804">
        <v>1</v>
      </c>
      <c r="BE804">
        <v>0</v>
      </c>
      <c r="BF804">
        <v>0</v>
      </c>
      <c r="BG804">
        <v>0</v>
      </c>
      <c r="BH804">
        <v>14200</v>
      </c>
      <c r="BI804">
        <v>1</v>
      </c>
      <c r="BJ804">
        <v>1</v>
      </c>
      <c r="BK804">
        <v>1</v>
      </c>
      <c r="BL804">
        <v>0</v>
      </c>
      <c r="BO804">
        <v>0</v>
      </c>
      <c r="BP804">
        <v>0</v>
      </c>
      <c r="BW804" t="str">
        <f>"13:57:10.459"</f>
        <v>13:57:10.459</v>
      </c>
      <c r="CJ804">
        <v>0</v>
      </c>
      <c r="CK804">
        <v>2</v>
      </c>
      <c r="CL804">
        <v>0</v>
      </c>
      <c r="CM804">
        <v>2</v>
      </c>
      <c r="CN804">
        <v>0</v>
      </c>
      <c r="CO804">
        <v>7</v>
      </c>
      <c r="CP804" t="s">
        <v>119</v>
      </c>
      <c r="CQ804">
        <v>197</v>
      </c>
      <c r="CR804">
        <v>0</v>
      </c>
      <c r="CW804">
        <v>16053972</v>
      </c>
      <c r="CY804">
        <v>1</v>
      </c>
      <c r="CZ804">
        <v>0</v>
      </c>
      <c r="DA804">
        <v>1</v>
      </c>
      <c r="DB804">
        <v>0</v>
      </c>
      <c r="DC804">
        <v>0</v>
      </c>
      <c r="DD804">
        <v>1</v>
      </c>
      <c r="DE804">
        <v>0</v>
      </c>
      <c r="DF804">
        <v>0</v>
      </c>
      <c r="DG804">
        <v>0</v>
      </c>
      <c r="DH804">
        <v>0</v>
      </c>
      <c r="DI804">
        <v>0</v>
      </c>
    </row>
    <row r="805" spans="1:113" x14ac:dyDescent="0.3">
      <c r="A805" t="str">
        <f>"09/28/2021 13:57:11.620"</f>
        <v>09/28/2021 13:57:11.620</v>
      </c>
      <c r="C805" t="str">
        <f t="shared" si="38"/>
        <v>FFDFD3C0</v>
      </c>
      <c r="D805" t="s">
        <v>120</v>
      </c>
      <c r="E805">
        <v>12</v>
      </c>
      <c r="F805">
        <v>1012</v>
      </c>
      <c r="G805" t="s">
        <v>114</v>
      </c>
      <c r="J805" t="s">
        <v>121</v>
      </c>
      <c r="K805">
        <v>0</v>
      </c>
      <c r="L805">
        <v>3</v>
      </c>
      <c r="M805">
        <v>0</v>
      </c>
      <c r="N805">
        <v>2</v>
      </c>
      <c r="O805">
        <v>1</v>
      </c>
      <c r="P805">
        <v>0</v>
      </c>
      <c r="Q805">
        <v>0</v>
      </c>
      <c r="S805" t="str">
        <f>"13:57:11.438"</f>
        <v>13:57:11.438</v>
      </c>
      <c r="T805" t="str">
        <f>"13:57:11.038"</f>
        <v>13:57:11.038</v>
      </c>
      <c r="U805" t="str">
        <f t="shared" si="40"/>
        <v>A92BC1</v>
      </c>
      <c r="V805">
        <v>0</v>
      </c>
      <c r="W805">
        <v>0</v>
      </c>
      <c r="X805">
        <v>2</v>
      </c>
      <c r="Z805">
        <v>0</v>
      </c>
      <c r="AA805">
        <v>9</v>
      </c>
      <c r="AB805">
        <v>3</v>
      </c>
      <c r="AC805">
        <v>0</v>
      </c>
      <c r="AD805">
        <v>10</v>
      </c>
      <c r="AE805">
        <v>0</v>
      </c>
      <c r="AF805">
        <v>3</v>
      </c>
      <c r="AG805">
        <v>2</v>
      </c>
      <c r="AH805">
        <v>0</v>
      </c>
      <c r="AI805" t="s">
        <v>906</v>
      </c>
      <c r="AJ805">
        <v>45.824446999999999</v>
      </c>
      <c r="AK805" t="s">
        <v>907</v>
      </c>
      <c r="AL805">
        <v>-89.213791000000001</v>
      </c>
      <c r="AM805">
        <v>100</v>
      </c>
      <c r="AN805">
        <v>13800</v>
      </c>
      <c r="AO805" t="s">
        <v>118</v>
      </c>
      <c r="AP805">
        <v>144</v>
      </c>
      <c r="AQ805">
        <v>119</v>
      </c>
      <c r="AR805">
        <v>1536</v>
      </c>
      <c r="AZ805">
        <v>1200</v>
      </c>
      <c r="BA805">
        <v>1</v>
      </c>
      <c r="BB805" t="str">
        <f t="shared" si="39"/>
        <v xml:space="preserve">N690LS  </v>
      </c>
      <c r="BC805">
        <v>1</v>
      </c>
      <c r="BE805">
        <v>0</v>
      </c>
      <c r="BF805">
        <v>0</v>
      </c>
      <c r="BG805">
        <v>0</v>
      </c>
      <c r="BH805">
        <v>14225</v>
      </c>
      <c r="BI805">
        <v>1</v>
      </c>
      <c r="BJ805">
        <v>1</v>
      </c>
      <c r="BK805">
        <v>1</v>
      </c>
      <c r="BL805">
        <v>0</v>
      </c>
      <c r="BO805">
        <v>0</v>
      </c>
      <c r="BP805">
        <v>0</v>
      </c>
      <c r="BW805" t="str">
        <f>"13:57:11.440"</f>
        <v>13:57:11.440</v>
      </c>
      <c r="CJ805">
        <v>0</v>
      </c>
      <c r="CK805">
        <v>2</v>
      </c>
      <c r="CL805">
        <v>0</v>
      </c>
      <c r="CM805">
        <v>2</v>
      </c>
      <c r="CN805">
        <v>0</v>
      </c>
      <c r="CO805">
        <v>7</v>
      </c>
      <c r="CP805" t="s">
        <v>119</v>
      </c>
      <c r="CQ805">
        <v>197</v>
      </c>
      <c r="CR805">
        <v>0</v>
      </c>
      <c r="CW805">
        <v>16054275</v>
      </c>
      <c r="CY805">
        <v>1</v>
      </c>
      <c r="CZ805">
        <v>0</v>
      </c>
      <c r="DA805">
        <v>0</v>
      </c>
      <c r="DB805">
        <v>0</v>
      </c>
      <c r="DC805">
        <v>0</v>
      </c>
      <c r="DD805">
        <v>1</v>
      </c>
      <c r="DE805">
        <v>0</v>
      </c>
      <c r="DF805">
        <v>0</v>
      </c>
      <c r="DG805">
        <v>0</v>
      </c>
      <c r="DH805">
        <v>0</v>
      </c>
      <c r="DI805">
        <v>0</v>
      </c>
    </row>
    <row r="806" spans="1:113" x14ac:dyDescent="0.3">
      <c r="A806" t="str">
        <f>"09/28/2021 13:57:11.667"</f>
        <v>09/28/2021 13:57:11.667</v>
      </c>
      <c r="C806" t="str">
        <f t="shared" si="38"/>
        <v>FFDFD3C0</v>
      </c>
      <c r="D806" t="s">
        <v>113</v>
      </c>
      <c r="E806">
        <v>7</v>
      </c>
      <c r="H806">
        <v>170</v>
      </c>
      <c r="I806" t="s">
        <v>114</v>
      </c>
      <c r="J806" t="s">
        <v>115</v>
      </c>
      <c r="K806">
        <v>0</v>
      </c>
      <c r="L806">
        <v>3</v>
      </c>
      <c r="M806">
        <v>0</v>
      </c>
      <c r="N806">
        <v>2</v>
      </c>
      <c r="O806">
        <v>1</v>
      </c>
      <c r="P806">
        <v>0</v>
      </c>
      <c r="Q806">
        <v>0</v>
      </c>
      <c r="S806" t="str">
        <f>"13:57:11.438"</f>
        <v>13:57:11.438</v>
      </c>
      <c r="T806" t="str">
        <f>"13:57:11.038"</f>
        <v>13:57:11.038</v>
      </c>
      <c r="U806" t="str">
        <f t="shared" si="40"/>
        <v>A92BC1</v>
      </c>
      <c r="V806">
        <v>0</v>
      </c>
      <c r="W806">
        <v>0</v>
      </c>
      <c r="X806">
        <v>2</v>
      </c>
      <c r="Z806">
        <v>0</v>
      </c>
      <c r="AA806">
        <v>9</v>
      </c>
      <c r="AB806">
        <v>3</v>
      </c>
      <c r="AC806">
        <v>0</v>
      </c>
      <c r="AD806">
        <v>10</v>
      </c>
      <c r="AE806">
        <v>0</v>
      </c>
      <c r="AF806">
        <v>3</v>
      </c>
      <c r="AG806">
        <v>2</v>
      </c>
      <c r="AH806">
        <v>0</v>
      </c>
      <c r="AI806" t="s">
        <v>906</v>
      </c>
      <c r="AJ806">
        <v>45.824446999999999</v>
      </c>
      <c r="AK806" t="s">
        <v>907</v>
      </c>
      <c r="AL806">
        <v>-89.213791000000001</v>
      </c>
      <c r="AM806">
        <v>100</v>
      </c>
      <c r="AN806">
        <v>13800</v>
      </c>
      <c r="AO806" t="s">
        <v>118</v>
      </c>
      <c r="AP806">
        <v>144</v>
      </c>
      <c r="AQ806">
        <v>119</v>
      </c>
      <c r="AR806">
        <v>1536</v>
      </c>
      <c r="AZ806">
        <v>1200</v>
      </c>
      <c r="BA806">
        <v>1</v>
      </c>
      <c r="BB806" t="str">
        <f t="shared" si="39"/>
        <v xml:space="preserve">N690LS  </v>
      </c>
      <c r="BC806">
        <v>1</v>
      </c>
      <c r="BE806">
        <v>0</v>
      </c>
      <c r="BF806">
        <v>0</v>
      </c>
      <c r="BG806">
        <v>0</v>
      </c>
      <c r="BH806">
        <v>14225</v>
      </c>
      <c r="BI806">
        <v>1</v>
      </c>
      <c r="BJ806">
        <v>1</v>
      </c>
      <c r="BK806">
        <v>1</v>
      </c>
      <c r="BL806">
        <v>0</v>
      </c>
      <c r="BO806">
        <v>0</v>
      </c>
      <c r="BP806">
        <v>0</v>
      </c>
      <c r="BW806" t="str">
        <f>"13:57:11.440"</f>
        <v>13:57:11.440</v>
      </c>
      <c r="CJ806">
        <v>0</v>
      </c>
      <c r="CK806">
        <v>2</v>
      </c>
      <c r="CL806">
        <v>0</v>
      </c>
      <c r="CM806">
        <v>2</v>
      </c>
      <c r="CN806">
        <v>0</v>
      </c>
      <c r="CO806">
        <v>7</v>
      </c>
      <c r="CP806" t="s">
        <v>119</v>
      </c>
      <c r="CQ806">
        <v>197</v>
      </c>
      <c r="CR806">
        <v>0</v>
      </c>
      <c r="CW806">
        <v>16054275</v>
      </c>
      <c r="CY806">
        <v>1</v>
      </c>
      <c r="CZ806">
        <v>0</v>
      </c>
      <c r="DA806">
        <v>1</v>
      </c>
      <c r="DB806">
        <v>0</v>
      </c>
      <c r="DC806">
        <v>0</v>
      </c>
      <c r="DD806">
        <v>1</v>
      </c>
      <c r="DE806">
        <v>0</v>
      </c>
      <c r="DF806">
        <v>0</v>
      </c>
      <c r="DG806">
        <v>0</v>
      </c>
      <c r="DH806">
        <v>0</v>
      </c>
      <c r="DI806">
        <v>0</v>
      </c>
    </row>
    <row r="807" spans="1:113" x14ac:dyDescent="0.3">
      <c r="A807" t="str">
        <f>"09/28/2021 13:57:12.638"</f>
        <v>09/28/2021 13:57:12.638</v>
      </c>
      <c r="C807" t="str">
        <f t="shared" ref="C807:C870" si="41">"FFDFD3C0"</f>
        <v>FFDFD3C0</v>
      </c>
      <c r="D807" t="s">
        <v>120</v>
      </c>
      <c r="E807">
        <v>12</v>
      </c>
      <c r="F807">
        <v>1012</v>
      </c>
      <c r="G807" t="s">
        <v>114</v>
      </c>
      <c r="J807" t="s">
        <v>121</v>
      </c>
      <c r="K807">
        <v>0</v>
      </c>
      <c r="L807">
        <v>3</v>
      </c>
      <c r="M807">
        <v>0</v>
      </c>
      <c r="N807">
        <v>2</v>
      </c>
      <c r="O807">
        <v>1</v>
      </c>
      <c r="P807">
        <v>0</v>
      </c>
      <c r="Q807">
        <v>0</v>
      </c>
      <c r="S807" t="str">
        <f>"13:57:12.430"</f>
        <v>13:57:12.430</v>
      </c>
      <c r="T807" t="str">
        <f>"13:57:11.930"</f>
        <v>13:57:11.930</v>
      </c>
      <c r="U807" t="str">
        <f t="shared" si="40"/>
        <v>A92BC1</v>
      </c>
      <c r="V807">
        <v>0</v>
      </c>
      <c r="W807">
        <v>0</v>
      </c>
      <c r="X807">
        <v>2</v>
      </c>
      <c r="Z807">
        <v>0</v>
      </c>
      <c r="AA807">
        <v>9</v>
      </c>
      <c r="AB807">
        <v>3</v>
      </c>
      <c r="AC807">
        <v>0</v>
      </c>
      <c r="AD807">
        <v>10</v>
      </c>
      <c r="AE807">
        <v>0</v>
      </c>
      <c r="AF807">
        <v>3</v>
      </c>
      <c r="AG807">
        <v>2</v>
      </c>
      <c r="AH807">
        <v>0</v>
      </c>
      <c r="AI807" t="s">
        <v>908</v>
      </c>
      <c r="AJ807">
        <v>45.825004999999997</v>
      </c>
      <c r="AK807" t="s">
        <v>909</v>
      </c>
      <c r="AL807">
        <v>-89.212824999999995</v>
      </c>
      <c r="AM807">
        <v>100</v>
      </c>
      <c r="AN807">
        <v>13800</v>
      </c>
      <c r="AO807" t="s">
        <v>118</v>
      </c>
      <c r="AP807">
        <v>144</v>
      </c>
      <c r="AQ807">
        <v>119</v>
      </c>
      <c r="AR807">
        <v>1536</v>
      </c>
      <c r="AZ807">
        <v>1200</v>
      </c>
      <c r="BA807">
        <v>1</v>
      </c>
      <c r="BB807" t="str">
        <f t="shared" ref="BB807:BB870" si="42">"N690LS  "</f>
        <v xml:space="preserve">N690LS  </v>
      </c>
      <c r="BC807">
        <v>1</v>
      </c>
      <c r="BE807">
        <v>0</v>
      </c>
      <c r="BF807">
        <v>0</v>
      </c>
      <c r="BG807">
        <v>0</v>
      </c>
      <c r="BH807">
        <v>14250</v>
      </c>
      <c r="BI807">
        <v>1</v>
      </c>
      <c r="BJ807">
        <v>1</v>
      </c>
      <c r="BK807">
        <v>1</v>
      </c>
      <c r="BL807">
        <v>0</v>
      </c>
      <c r="BO807">
        <v>0</v>
      </c>
      <c r="BP807">
        <v>0</v>
      </c>
      <c r="BW807" t="str">
        <f>"13:57:12.432"</f>
        <v>13:57:12.432</v>
      </c>
      <c r="CJ807">
        <v>0</v>
      </c>
      <c r="CK807">
        <v>2</v>
      </c>
      <c r="CL807">
        <v>0</v>
      </c>
      <c r="CM807">
        <v>2</v>
      </c>
      <c r="CN807">
        <v>0</v>
      </c>
      <c r="CO807">
        <v>7</v>
      </c>
      <c r="CP807" t="s">
        <v>119</v>
      </c>
      <c r="CQ807">
        <v>197</v>
      </c>
      <c r="CR807">
        <v>1</v>
      </c>
      <c r="CW807">
        <v>7403631</v>
      </c>
      <c r="CY807">
        <v>1</v>
      </c>
      <c r="CZ807">
        <v>0</v>
      </c>
      <c r="DA807">
        <v>0</v>
      </c>
      <c r="DB807">
        <v>0</v>
      </c>
      <c r="DC807">
        <v>0</v>
      </c>
      <c r="DD807">
        <v>1</v>
      </c>
      <c r="DE807">
        <v>0</v>
      </c>
      <c r="DF807">
        <v>0</v>
      </c>
      <c r="DG807">
        <v>0</v>
      </c>
      <c r="DH807">
        <v>0</v>
      </c>
      <c r="DI807">
        <v>0</v>
      </c>
    </row>
    <row r="808" spans="1:113" x14ac:dyDescent="0.3">
      <c r="A808" t="str">
        <f>"09/28/2021 13:57:12.685"</f>
        <v>09/28/2021 13:57:12.685</v>
      </c>
      <c r="C808" t="str">
        <f t="shared" si="41"/>
        <v>FFDFD3C0</v>
      </c>
      <c r="D808" t="s">
        <v>113</v>
      </c>
      <c r="E808">
        <v>7</v>
      </c>
      <c r="H808">
        <v>170</v>
      </c>
      <c r="I808" t="s">
        <v>114</v>
      </c>
      <c r="J808" t="s">
        <v>115</v>
      </c>
      <c r="K808">
        <v>0</v>
      </c>
      <c r="L808">
        <v>3</v>
      </c>
      <c r="M808">
        <v>0</v>
      </c>
      <c r="N808">
        <v>2</v>
      </c>
      <c r="O808">
        <v>1</v>
      </c>
      <c r="P808">
        <v>0</v>
      </c>
      <c r="Q808">
        <v>0</v>
      </c>
      <c r="S808" t="str">
        <f>"13:57:12.430"</f>
        <v>13:57:12.430</v>
      </c>
      <c r="T808" t="str">
        <f>"13:57:11.930"</f>
        <v>13:57:11.930</v>
      </c>
      <c r="U808" t="str">
        <f t="shared" si="40"/>
        <v>A92BC1</v>
      </c>
      <c r="V808">
        <v>0</v>
      </c>
      <c r="W808">
        <v>0</v>
      </c>
      <c r="X808">
        <v>2</v>
      </c>
      <c r="Z808">
        <v>0</v>
      </c>
      <c r="AA808">
        <v>9</v>
      </c>
      <c r="AB808">
        <v>3</v>
      </c>
      <c r="AC808">
        <v>0</v>
      </c>
      <c r="AD808">
        <v>10</v>
      </c>
      <c r="AE808">
        <v>0</v>
      </c>
      <c r="AF808">
        <v>3</v>
      </c>
      <c r="AG808">
        <v>2</v>
      </c>
      <c r="AH808">
        <v>0</v>
      </c>
      <c r="AI808" t="s">
        <v>908</v>
      </c>
      <c r="AJ808">
        <v>45.825004999999997</v>
      </c>
      <c r="AK808" t="s">
        <v>909</v>
      </c>
      <c r="AL808">
        <v>-89.212824999999995</v>
      </c>
      <c r="AM808">
        <v>100</v>
      </c>
      <c r="AN808">
        <v>13800</v>
      </c>
      <c r="AO808" t="s">
        <v>118</v>
      </c>
      <c r="AP808">
        <v>144</v>
      </c>
      <c r="AQ808">
        <v>119</v>
      </c>
      <c r="AR808">
        <v>1536</v>
      </c>
      <c r="AZ808">
        <v>1200</v>
      </c>
      <c r="BA808">
        <v>1</v>
      </c>
      <c r="BB808" t="str">
        <f t="shared" si="42"/>
        <v xml:space="preserve">N690LS  </v>
      </c>
      <c r="BC808">
        <v>1</v>
      </c>
      <c r="BE808">
        <v>0</v>
      </c>
      <c r="BF808">
        <v>0</v>
      </c>
      <c r="BG808">
        <v>0</v>
      </c>
      <c r="BH808">
        <v>14250</v>
      </c>
      <c r="BI808">
        <v>1</v>
      </c>
      <c r="BJ808">
        <v>1</v>
      </c>
      <c r="BK808">
        <v>1</v>
      </c>
      <c r="BL808">
        <v>0</v>
      </c>
      <c r="BO808">
        <v>0</v>
      </c>
      <c r="BP808">
        <v>0</v>
      </c>
      <c r="BW808" t="str">
        <f>"13:57:12.432"</f>
        <v>13:57:12.432</v>
      </c>
      <c r="CJ808">
        <v>0</v>
      </c>
      <c r="CK808">
        <v>2</v>
      </c>
      <c r="CL808">
        <v>0</v>
      </c>
      <c r="CM808">
        <v>2</v>
      </c>
      <c r="CN808">
        <v>0</v>
      </c>
      <c r="CO808">
        <v>7</v>
      </c>
      <c r="CP808" t="s">
        <v>119</v>
      </c>
      <c r="CQ808">
        <v>197</v>
      </c>
      <c r="CR808">
        <v>1</v>
      </c>
      <c r="CW808">
        <v>7403631</v>
      </c>
      <c r="CY808">
        <v>1</v>
      </c>
      <c r="CZ808">
        <v>0</v>
      </c>
      <c r="DA808">
        <v>1</v>
      </c>
      <c r="DB808">
        <v>0</v>
      </c>
      <c r="DC808">
        <v>0</v>
      </c>
      <c r="DD808">
        <v>1</v>
      </c>
      <c r="DE808">
        <v>0</v>
      </c>
      <c r="DF808">
        <v>0</v>
      </c>
      <c r="DG808">
        <v>0</v>
      </c>
      <c r="DH808">
        <v>0</v>
      </c>
      <c r="DI808">
        <v>0</v>
      </c>
    </row>
    <row r="809" spans="1:113" x14ac:dyDescent="0.3">
      <c r="A809" t="str">
        <f>"09/28/2021 13:57:13.513"</f>
        <v>09/28/2021 13:57:13.513</v>
      </c>
      <c r="C809" t="str">
        <f t="shared" si="41"/>
        <v>FFDFD3C0</v>
      </c>
      <c r="D809" t="s">
        <v>113</v>
      </c>
      <c r="E809">
        <v>7</v>
      </c>
      <c r="H809">
        <v>170</v>
      </c>
      <c r="I809" t="s">
        <v>114</v>
      </c>
      <c r="J809" t="s">
        <v>115</v>
      </c>
      <c r="K809">
        <v>0</v>
      </c>
      <c r="L809">
        <v>3</v>
      </c>
      <c r="M809">
        <v>0</v>
      </c>
      <c r="N809">
        <v>2</v>
      </c>
      <c r="O809">
        <v>1</v>
      </c>
      <c r="P809">
        <v>0</v>
      </c>
      <c r="Q809">
        <v>0</v>
      </c>
      <c r="S809" t="str">
        <f>"13:57:13.336"</f>
        <v>13:57:13.336</v>
      </c>
      <c r="T809" t="str">
        <f>"13:57:12.936"</f>
        <v>13:57:12.936</v>
      </c>
      <c r="U809" t="str">
        <f t="shared" si="40"/>
        <v>A92BC1</v>
      </c>
      <c r="V809">
        <v>0</v>
      </c>
      <c r="W809">
        <v>0</v>
      </c>
      <c r="X809">
        <v>2</v>
      </c>
      <c r="Z809">
        <v>0</v>
      </c>
      <c r="AA809">
        <v>9</v>
      </c>
      <c r="AB809">
        <v>3</v>
      </c>
      <c r="AC809">
        <v>0</v>
      </c>
      <c r="AD809">
        <v>10</v>
      </c>
      <c r="AE809">
        <v>0</v>
      </c>
      <c r="AF809">
        <v>3</v>
      </c>
      <c r="AG809">
        <v>2</v>
      </c>
      <c r="AH809">
        <v>0</v>
      </c>
      <c r="AI809" t="s">
        <v>910</v>
      </c>
      <c r="AJ809">
        <v>45.825541000000001</v>
      </c>
      <c r="AK809" t="s">
        <v>911</v>
      </c>
      <c r="AL809">
        <v>-89.211923999999996</v>
      </c>
      <c r="AM809">
        <v>100</v>
      </c>
      <c r="AN809">
        <v>13800</v>
      </c>
      <c r="AO809" t="s">
        <v>118</v>
      </c>
      <c r="AP809">
        <v>144</v>
      </c>
      <c r="AQ809">
        <v>119</v>
      </c>
      <c r="AR809">
        <v>1536</v>
      </c>
      <c r="AZ809">
        <v>1200</v>
      </c>
      <c r="BA809">
        <v>1</v>
      </c>
      <c r="BB809" t="str">
        <f t="shared" si="42"/>
        <v xml:space="preserve">N690LS  </v>
      </c>
      <c r="BC809">
        <v>1</v>
      </c>
      <c r="BE809">
        <v>0</v>
      </c>
      <c r="BF809">
        <v>0</v>
      </c>
      <c r="BG809">
        <v>0</v>
      </c>
      <c r="BH809">
        <v>14275</v>
      </c>
      <c r="BI809">
        <v>1</v>
      </c>
      <c r="BJ809">
        <v>1</v>
      </c>
      <c r="BK809">
        <v>1</v>
      </c>
      <c r="BL809">
        <v>0</v>
      </c>
      <c r="BO809">
        <v>0</v>
      </c>
      <c r="BP809">
        <v>0</v>
      </c>
      <c r="BW809" t="str">
        <f>"13:57:13.343"</f>
        <v>13:57:13.343</v>
      </c>
      <c r="CJ809">
        <v>0</v>
      </c>
      <c r="CK809">
        <v>2</v>
      </c>
      <c r="CL809">
        <v>0</v>
      </c>
      <c r="CM809">
        <v>2</v>
      </c>
      <c r="CN809">
        <v>0</v>
      </c>
      <c r="CO809">
        <v>6</v>
      </c>
      <c r="CP809" t="s">
        <v>119</v>
      </c>
      <c r="CQ809">
        <v>209</v>
      </c>
      <c r="CR809">
        <v>3</v>
      </c>
      <c r="CW809">
        <v>7235411</v>
      </c>
      <c r="CY809">
        <v>1</v>
      </c>
      <c r="CZ809">
        <v>0</v>
      </c>
      <c r="DA809">
        <v>0</v>
      </c>
      <c r="DB809">
        <v>0</v>
      </c>
      <c r="DC809">
        <v>0</v>
      </c>
      <c r="DD809">
        <v>1</v>
      </c>
      <c r="DE809">
        <v>0</v>
      </c>
      <c r="DF809">
        <v>0</v>
      </c>
      <c r="DG809">
        <v>0</v>
      </c>
      <c r="DH809">
        <v>0</v>
      </c>
      <c r="DI809">
        <v>0</v>
      </c>
    </row>
    <row r="810" spans="1:113" x14ac:dyDescent="0.3">
      <c r="A810" t="str">
        <f>"09/28/2021 13:57:13.560"</f>
        <v>09/28/2021 13:57:13.560</v>
      </c>
      <c r="C810" t="str">
        <f t="shared" si="41"/>
        <v>FFDFD3C0</v>
      </c>
      <c r="D810" t="s">
        <v>120</v>
      </c>
      <c r="E810">
        <v>12</v>
      </c>
      <c r="F810">
        <v>1012</v>
      </c>
      <c r="G810" t="s">
        <v>114</v>
      </c>
      <c r="J810" t="s">
        <v>121</v>
      </c>
      <c r="K810">
        <v>0</v>
      </c>
      <c r="L810">
        <v>3</v>
      </c>
      <c r="M810">
        <v>0</v>
      </c>
      <c r="N810">
        <v>2</v>
      </c>
      <c r="O810">
        <v>1</v>
      </c>
      <c r="P810">
        <v>0</v>
      </c>
      <c r="Q810">
        <v>0</v>
      </c>
      <c r="S810" t="str">
        <f>"13:57:13.336"</f>
        <v>13:57:13.336</v>
      </c>
      <c r="T810" t="str">
        <f>"13:57:12.936"</f>
        <v>13:57:12.936</v>
      </c>
      <c r="U810" t="str">
        <f t="shared" si="40"/>
        <v>A92BC1</v>
      </c>
      <c r="V810">
        <v>0</v>
      </c>
      <c r="W810">
        <v>0</v>
      </c>
      <c r="X810">
        <v>2</v>
      </c>
      <c r="Z810">
        <v>0</v>
      </c>
      <c r="AA810">
        <v>9</v>
      </c>
      <c r="AB810">
        <v>3</v>
      </c>
      <c r="AC810">
        <v>0</v>
      </c>
      <c r="AD810">
        <v>10</v>
      </c>
      <c r="AE810">
        <v>0</v>
      </c>
      <c r="AF810">
        <v>3</v>
      </c>
      <c r="AG810">
        <v>2</v>
      </c>
      <c r="AH810">
        <v>0</v>
      </c>
      <c r="AI810" t="s">
        <v>910</v>
      </c>
      <c r="AJ810">
        <v>45.825541000000001</v>
      </c>
      <c r="AK810" t="s">
        <v>911</v>
      </c>
      <c r="AL810">
        <v>-89.211923999999996</v>
      </c>
      <c r="AM810">
        <v>100</v>
      </c>
      <c r="AN810">
        <v>13800</v>
      </c>
      <c r="AO810" t="s">
        <v>118</v>
      </c>
      <c r="AP810">
        <v>144</v>
      </c>
      <c r="AQ810">
        <v>119</v>
      </c>
      <c r="AR810">
        <v>1536</v>
      </c>
      <c r="AZ810">
        <v>1200</v>
      </c>
      <c r="BA810">
        <v>1</v>
      </c>
      <c r="BB810" t="str">
        <f t="shared" si="42"/>
        <v xml:space="preserve">N690LS  </v>
      </c>
      <c r="BC810">
        <v>1</v>
      </c>
      <c r="BE810">
        <v>0</v>
      </c>
      <c r="BF810">
        <v>0</v>
      </c>
      <c r="BG810">
        <v>0</v>
      </c>
      <c r="BH810">
        <v>14275</v>
      </c>
      <c r="BI810">
        <v>1</v>
      </c>
      <c r="BJ810">
        <v>1</v>
      </c>
      <c r="BK810">
        <v>1</v>
      </c>
      <c r="BL810">
        <v>0</v>
      </c>
      <c r="BO810">
        <v>0</v>
      </c>
      <c r="BP810">
        <v>0</v>
      </c>
      <c r="BW810" t="str">
        <f>"13:57:13.343"</f>
        <v>13:57:13.343</v>
      </c>
      <c r="CJ810">
        <v>0</v>
      </c>
      <c r="CK810">
        <v>2</v>
      </c>
      <c r="CL810">
        <v>0</v>
      </c>
      <c r="CM810">
        <v>2</v>
      </c>
      <c r="CN810">
        <v>0</v>
      </c>
      <c r="CO810">
        <v>6</v>
      </c>
      <c r="CP810" t="s">
        <v>119</v>
      </c>
      <c r="CQ810">
        <v>209</v>
      </c>
      <c r="CR810">
        <v>3</v>
      </c>
      <c r="CW810">
        <v>7235411</v>
      </c>
      <c r="CY810">
        <v>1</v>
      </c>
      <c r="CZ810">
        <v>0</v>
      </c>
      <c r="DA810">
        <v>1</v>
      </c>
      <c r="DB810">
        <v>0</v>
      </c>
      <c r="DC810">
        <v>0</v>
      </c>
      <c r="DD810">
        <v>1</v>
      </c>
      <c r="DE810">
        <v>0</v>
      </c>
      <c r="DF810">
        <v>0</v>
      </c>
      <c r="DG810">
        <v>0</v>
      </c>
      <c r="DH810">
        <v>0</v>
      </c>
      <c r="DI810">
        <v>0</v>
      </c>
    </row>
    <row r="811" spans="1:113" x14ac:dyDescent="0.3">
      <c r="A811" t="str">
        <f>"09/28/2021 13:57:14.686"</f>
        <v>09/28/2021 13:57:14.686</v>
      </c>
      <c r="C811" t="str">
        <f t="shared" si="41"/>
        <v>FFDFD3C0</v>
      </c>
      <c r="D811" t="s">
        <v>120</v>
      </c>
      <c r="E811">
        <v>12</v>
      </c>
      <c r="F811">
        <v>1012</v>
      </c>
      <c r="G811" t="s">
        <v>114</v>
      </c>
      <c r="J811" t="s">
        <v>121</v>
      </c>
      <c r="K811">
        <v>0</v>
      </c>
      <c r="L811">
        <v>3</v>
      </c>
      <c r="M811">
        <v>0</v>
      </c>
      <c r="N811">
        <v>2</v>
      </c>
      <c r="O811">
        <v>1</v>
      </c>
      <c r="P811">
        <v>0</v>
      </c>
      <c r="Q811">
        <v>0</v>
      </c>
      <c r="S811" t="str">
        <f>"13:57:14.461"</f>
        <v>13:57:14.461</v>
      </c>
      <c r="T811" t="str">
        <f>"13:57:13.961"</f>
        <v>13:57:13.961</v>
      </c>
      <c r="U811" t="str">
        <f t="shared" si="40"/>
        <v>A92BC1</v>
      </c>
      <c r="V811">
        <v>0</v>
      </c>
      <c r="W811">
        <v>0</v>
      </c>
      <c r="X811">
        <v>2</v>
      </c>
      <c r="Z811">
        <v>0</v>
      </c>
      <c r="AA811">
        <v>9</v>
      </c>
      <c r="AB811">
        <v>3</v>
      </c>
      <c r="AC811">
        <v>0</v>
      </c>
      <c r="AD811">
        <v>10</v>
      </c>
      <c r="AE811">
        <v>0</v>
      </c>
      <c r="AF811">
        <v>3</v>
      </c>
      <c r="AG811">
        <v>2</v>
      </c>
      <c r="AH811">
        <v>0</v>
      </c>
      <c r="AI811" t="s">
        <v>912</v>
      </c>
      <c r="AJ811">
        <v>45.826120000000003</v>
      </c>
      <c r="AK811" t="s">
        <v>913</v>
      </c>
      <c r="AL811">
        <v>-89.210915999999997</v>
      </c>
      <c r="AM811">
        <v>100</v>
      </c>
      <c r="AN811">
        <v>13800</v>
      </c>
      <c r="AO811" t="s">
        <v>118</v>
      </c>
      <c r="AP811">
        <v>144</v>
      </c>
      <c r="AQ811">
        <v>119</v>
      </c>
      <c r="AR811">
        <v>1536</v>
      </c>
      <c r="AZ811">
        <v>1200</v>
      </c>
      <c r="BA811">
        <v>1</v>
      </c>
      <c r="BB811" t="str">
        <f t="shared" si="42"/>
        <v xml:space="preserve">N690LS  </v>
      </c>
      <c r="BC811">
        <v>1</v>
      </c>
      <c r="BE811">
        <v>0</v>
      </c>
      <c r="BF811">
        <v>0</v>
      </c>
      <c r="BG811">
        <v>0</v>
      </c>
      <c r="BH811">
        <v>14300</v>
      </c>
      <c r="BI811">
        <v>1</v>
      </c>
      <c r="BJ811">
        <v>1</v>
      </c>
      <c r="BK811">
        <v>1</v>
      </c>
      <c r="BL811">
        <v>0</v>
      </c>
      <c r="BO811">
        <v>0</v>
      </c>
      <c r="BP811">
        <v>0</v>
      </c>
      <c r="BW811" t="str">
        <f>"13:57:14.463"</f>
        <v>13:57:14.463</v>
      </c>
      <c r="CJ811">
        <v>0</v>
      </c>
      <c r="CK811">
        <v>2</v>
      </c>
      <c r="CL811">
        <v>0</v>
      </c>
      <c r="CM811">
        <v>2</v>
      </c>
      <c r="CN811">
        <v>0</v>
      </c>
      <c r="CO811">
        <v>6</v>
      </c>
      <c r="CP811" t="s">
        <v>119</v>
      </c>
      <c r="CQ811">
        <v>209</v>
      </c>
      <c r="CR811">
        <v>3</v>
      </c>
      <c r="CW811">
        <v>7235792</v>
      </c>
      <c r="CY811">
        <v>1</v>
      </c>
      <c r="CZ811">
        <v>0</v>
      </c>
      <c r="DA811">
        <v>0</v>
      </c>
      <c r="DB811">
        <v>0</v>
      </c>
      <c r="DC811">
        <v>0</v>
      </c>
      <c r="DD811">
        <v>1</v>
      </c>
      <c r="DE811">
        <v>0</v>
      </c>
      <c r="DF811">
        <v>0</v>
      </c>
      <c r="DG811">
        <v>0</v>
      </c>
      <c r="DH811">
        <v>0</v>
      </c>
      <c r="DI811">
        <v>0</v>
      </c>
    </row>
    <row r="812" spans="1:113" x14ac:dyDescent="0.3">
      <c r="A812" t="str">
        <f>"09/28/2021 13:57:14.733"</f>
        <v>09/28/2021 13:57:14.733</v>
      </c>
      <c r="C812" t="str">
        <f t="shared" si="41"/>
        <v>FFDFD3C0</v>
      </c>
      <c r="D812" t="s">
        <v>113</v>
      </c>
      <c r="E812">
        <v>7</v>
      </c>
      <c r="H812">
        <v>170</v>
      </c>
      <c r="I812" t="s">
        <v>114</v>
      </c>
      <c r="J812" t="s">
        <v>115</v>
      </c>
      <c r="K812">
        <v>0</v>
      </c>
      <c r="L812">
        <v>3</v>
      </c>
      <c r="M812">
        <v>0</v>
      </c>
      <c r="N812">
        <v>2</v>
      </c>
      <c r="O812">
        <v>1</v>
      </c>
      <c r="P812">
        <v>0</v>
      </c>
      <c r="Q812">
        <v>0</v>
      </c>
      <c r="S812" t="str">
        <f>"13:57:14.461"</f>
        <v>13:57:14.461</v>
      </c>
      <c r="T812" t="str">
        <f>"13:57:13.961"</f>
        <v>13:57:13.961</v>
      </c>
      <c r="U812" t="str">
        <f t="shared" si="40"/>
        <v>A92BC1</v>
      </c>
      <c r="V812">
        <v>0</v>
      </c>
      <c r="W812">
        <v>0</v>
      </c>
      <c r="X812">
        <v>2</v>
      </c>
      <c r="Z812">
        <v>0</v>
      </c>
      <c r="AA812">
        <v>9</v>
      </c>
      <c r="AB812">
        <v>3</v>
      </c>
      <c r="AC812">
        <v>0</v>
      </c>
      <c r="AD812">
        <v>10</v>
      </c>
      <c r="AE812">
        <v>0</v>
      </c>
      <c r="AF812">
        <v>3</v>
      </c>
      <c r="AG812">
        <v>2</v>
      </c>
      <c r="AH812">
        <v>0</v>
      </c>
      <c r="AI812" t="s">
        <v>912</v>
      </c>
      <c r="AJ812">
        <v>45.826120000000003</v>
      </c>
      <c r="AK812" t="s">
        <v>913</v>
      </c>
      <c r="AL812">
        <v>-89.210915999999997</v>
      </c>
      <c r="AM812">
        <v>100</v>
      </c>
      <c r="AN812">
        <v>13800</v>
      </c>
      <c r="AO812" t="s">
        <v>118</v>
      </c>
      <c r="AP812">
        <v>144</v>
      </c>
      <c r="AQ812">
        <v>119</v>
      </c>
      <c r="AR812">
        <v>1536</v>
      </c>
      <c r="AZ812">
        <v>1200</v>
      </c>
      <c r="BA812">
        <v>1</v>
      </c>
      <c r="BB812" t="str">
        <f t="shared" si="42"/>
        <v xml:space="preserve">N690LS  </v>
      </c>
      <c r="BC812">
        <v>1</v>
      </c>
      <c r="BE812">
        <v>0</v>
      </c>
      <c r="BF812">
        <v>0</v>
      </c>
      <c r="BG812">
        <v>0</v>
      </c>
      <c r="BH812">
        <v>14300</v>
      </c>
      <c r="BI812">
        <v>1</v>
      </c>
      <c r="BJ812">
        <v>1</v>
      </c>
      <c r="BK812">
        <v>1</v>
      </c>
      <c r="BL812">
        <v>0</v>
      </c>
      <c r="BO812">
        <v>0</v>
      </c>
      <c r="BP812">
        <v>0</v>
      </c>
      <c r="BW812" t="str">
        <f>"13:57:14.463"</f>
        <v>13:57:14.463</v>
      </c>
      <c r="CJ812">
        <v>0</v>
      </c>
      <c r="CK812">
        <v>2</v>
      </c>
      <c r="CL812">
        <v>0</v>
      </c>
      <c r="CM812">
        <v>2</v>
      </c>
      <c r="CN812">
        <v>0</v>
      </c>
      <c r="CO812">
        <v>6</v>
      </c>
      <c r="CP812" t="s">
        <v>119</v>
      </c>
      <c r="CQ812">
        <v>209</v>
      </c>
      <c r="CR812">
        <v>3</v>
      </c>
      <c r="CW812">
        <v>7235792</v>
      </c>
      <c r="CY812">
        <v>1</v>
      </c>
      <c r="CZ812">
        <v>0</v>
      </c>
      <c r="DA812">
        <v>1</v>
      </c>
      <c r="DB812">
        <v>0</v>
      </c>
      <c r="DC812">
        <v>0</v>
      </c>
      <c r="DD812">
        <v>1</v>
      </c>
      <c r="DE812">
        <v>0</v>
      </c>
      <c r="DF812">
        <v>0</v>
      </c>
      <c r="DG812">
        <v>0</v>
      </c>
      <c r="DH812">
        <v>0</v>
      </c>
      <c r="DI812">
        <v>0</v>
      </c>
    </row>
    <row r="813" spans="1:113" x14ac:dyDescent="0.3">
      <c r="A813" t="str">
        <f>"09/28/2021 13:57:15.624"</f>
        <v>09/28/2021 13:57:15.624</v>
      </c>
      <c r="C813" t="str">
        <f t="shared" si="41"/>
        <v>FFDFD3C0</v>
      </c>
      <c r="D813" t="s">
        <v>113</v>
      </c>
      <c r="E813">
        <v>7</v>
      </c>
      <c r="H813">
        <v>170</v>
      </c>
      <c r="I813" t="s">
        <v>114</v>
      </c>
      <c r="J813" t="s">
        <v>115</v>
      </c>
      <c r="K813">
        <v>0</v>
      </c>
      <c r="L813">
        <v>3</v>
      </c>
      <c r="M813">
        <v>0</v>
      </c>
      <c r="N813">
        <v>2</v>
      </c>
      <c r="O813">
        <v>1</v>
      </c>
      <c r="P813">
        <v>0</v>
      </c>
      <c r="Q813">
        <v>0</v>
      </c>
      <c r="S813" t="str">
        <f>"13:57:15.398"</f>
        <v>13:57:15.398</v>
      </c>
      <c r="T813" t="str">
        <f>"13:57:14.998"</f>
        <v>13:57:14.998</v>
      </c>
      <c r="U813" t="str">
        <f t="shared" si="40"/>
        <v>A92BC1</v>
      </c>
      <c r="V813">
        <v>0</v>
      </c>
      <c r="W813">
        <v>0</v>
      </c>
      <c r="X813">
        <v>2</v>
      </c>
      <c r="Z813">
        <v>0</v>
      </c>
      <c r="AA813">
        <v>9</v>
      </c>
      <c r="AB813">
        <v>3</v>
      </c>
      <c r="AC813">
        <v>0</v>
      </c>
      <c r="AD813">
        <v>10</v>
      </c>
      <c r="AE813">
        <v>0</v>
      </c>
      <c r="AF813">
        <v>3</v>
      </c>
      <c r="AG813">
        <v>2</v>
      </c>
      <c r="AH813">
        <v>0</v>
      </c>
      <c r="AI813" t="s">
        <v>914</v>
      </c>
      <c r="AJ813">
        <v>45.826635000000003</v>
      </c>
      <c r="AK813" t="s">
        <v>915</v>
      </c>
      <c r="AL813">
        <v>-89.210057000000006</v>
      </c>
      <c r="AM813">
        <v>100</v>
      </c>
      <c r="AN813">
        <v>13900</v>
      </c>
      <c r="AO813" t="s">
        <v>118</v>
      </c>
      <c r="AP813">
        <v>143</v>
      </c>
      <c r="AQ813">
        <v>119</v>
      </c>
      <c r="AR813">
        <v>1536</v>
      </c>
      <c r="AZ813">
        <v>1200</v>
      </c>
      <c r="BA813">
        <v>1</v>
      </c>
      <c r="BB813" t="str">
        <f t="shared" si="42"/>
        <v xml:space="preserve">N690LS  </v>
      </c>
      <c r="BC813">
        <v>1</v>
      </c>
      <c r="BE813">
        <v>0</v>
      </c>
      <c r="BF813">
        <v>0</v>
      </c>
      <c r="BG813">
        <v>0</v>
      </c>
      <c r="BH813">
        <v>14325</v>
      </c>
      <c r="BI813">
        <v>1</v>
      </c>
      <c r="BJ813">
        <v>1</v>
      </c>
      <c r="BK813">
        <v>1</v>
      </c>
      <c r="BL813">
        <v>0</v>
      </c>
      <c r="BO813">
        <v>0</v>
      </c>
      <c r="BP813">
        <v>0</v>
      </c>
      <c r="BW813" t="str">
        <f>"13:57:15.402"</f>
        <v>13:57:15.402</v>
      </c>
      <c r="CJ813">
        <v>0</v>
      </c>
      <c r="CK813">
        <v>2</v>
      </c>
      <c r="CL813">
        <v>0</v>
      </c>
      <c r="CM813">
        <v>2</v>
      </c>
      <c r="CN813">
        <v>0</v>
      </c>
      <c r="CO813">
        <v>6</v>
      </c>
      <c r="CP813" t="s">
        <v>119</v>
      </c>
      <c r="CQ813">
        <v>209</v>
      </c>
      <c r="CR813">
        <v>3</v>
      </c>
      <c r="CW813">
        <v>7236087</v>
      </c>
      <c r="CY813">
        <v>1</v>
      </c>
      <c r="CZ813">
        <v>0</v>
      </c>
      <c r="DA813">
        <v>0</v>
      </c>
      <c r="DB813">
        <v>0</v>
      </c>
      <c r="DC813">
        <v>0</v>
      </c>
      <c r="DD813">
        <v>1</v>
      </c>
      <c r="DE813">
        <v>0</v>
      </c>
      <c r="DF813">
        <v>0</v>
      </c>
      <c r="DG813">
        <v>0</v>
      </c>
      <c r="DH813">
        <v>0</v>
      </c>
      <c r="DI813">
        <v>0</v>
      </c>
    </row>
    <row r="814" spans="1:113" x14ac:dyDescent="0.3">
      <c r="A814" t="str">
        <f>"09/28/2021 13:57:15.624"</f>
        <v>09/28/2021 13:57:15.624</v>
      </c>
      <c r="C814" t="str">
        <f t="shared" si="41"/>
        <v>FFDFD3C0</v>
      </c>
      <c r="D814" t="s">
        <v>120</v>
      </c>
      <c r="E814">
        <v>12</v>
      </c>
      <c r="F814">
        <v>1012</v>
      </c>
      <c r="G814" t="s">
        <v>114</v>
      </c>
      <c r="J814" t="s">
        <v>121</v>
      </c>
      <c r="K814">
        <v>0</v>
      </c>
      <c r="L814">
        <v>3</v>
      </c>
      <c r="M814">
        <v>0</v>
      </c>
      <c r="N814">
        <v>2</v>
      </c>
      <c r="O814">
        <v>1</v>
      </c>
      <c r="P814">
        <v>0</v>
      </c>
      <c r="Q814">
        <v>0</v>
      </c>
      <c r="S814" t="str">
        <f>"13:57:15.398"</f>
        <v>13:57:15.398</v>
      </c>
      <c r="T814" t="str">
        <f>"13:57:14.998"</f>
        <v>13:57:14.998</v>
      </c>
      <c r="U814" t="str">
        <f t="shared" si="40"/>
        <v>A92BC1</v>
      </c>
      <c r="V814">
        <v>0</v>
      </c>
      <c r="W814">
        <v>0</v>
      </c>
      <c r="X814">
        <v>2</v>
      </c>
      <c r="Z814">
        <v>0</v>
      </c>
      <c r="AA814">
        <v>9</v>
      </c>
      <c r="AB814">
        <v>3</v>
      </c>
      <c r="AC814">
        <v>0</v>
      </c>
      <c r="AD814">
        <v>10</v>
      </c>
      <c r="AE814">
        <v>0</v>
      </c>
      <c r="AF814">
        <v>3</v>
      </c>
      <c r="AG814">
        <v>2</v>
      </c>
      <c r="AH814">
        <v>0</v>
      </c>
      <c r="AI814" t="s">
        <v>914</v>
      </c>
      <c r="AJ814">
        <v>45.826635000000003</v>
      </c>
      <c r="AK814" t="s">
        <v>915</v>
      </c>
      <c r="AL814">
        <v>-89.210057000000006</v>
      </c>
      <c r="AM814">
        <v>100</v>
      </c>
      <c r="AN814">
        <v>13900</v>
      </c>
      <c r="AO814" t="s">
        <v>118</v>
      </c>
      <c r="AP814">
        <v>143</v>
      </c>
      <c r="AQ814">
        <v>119</v>
      </c>
      <c r="AR814">
        <v>1536</v>
      </c>
      <c r="AZ814">
        <v>1200</v>
      </c>
      <c r="BA814">
        <v>1</v>
      </c>
      <c r="BB814" t="str">
        <f t="shared" si="42"/>
        <v xml:space="preserve">N690LS  </v>
      </c>
      <c r="BC814">
        <v>1</v>
      </c>
      <c r="BE814">
        <v>0</v>
      </c>
      <c r="BF814">
        <v>0</v>
      </c>
      <c r="BG814">
        <v>0</v>
      </c>
      <c r="BH814">
        <v>14325</v>
      </c>
      <c r="BI814">
        <v>1</v>
      </c>
      <c r="BJ814">
        <v>1</v>
      </c>
      <c r="BK814">
        <v>1</v>
      </c>
      <c r="BL814">
        <v>0</v>
      </c>
      <c r="BO814">
        <v>0</v>
      </c>
      <c r="BP814">
        <v>0</v>
      </c>
      <c r="BW814" t="str">
        <f>"13:57:15.402"</f>
        <v>13:57:15.402</v>
      </c>
      <c r="CJ814">
        <v>0</v>
      </c>
      <c r="CK814">
        <v>2</v>
      </c>
      <c r="CL814">
        <v>0</v>
      </c>
      <c r="CM814">
        <v>2</v>
      </c>
      <c r="CN814">
        <v>0</v>
      </c>
      <c r="CO814">
        <v>6</v>
      </c>
      <c r="CP814" t="s">
        <v>119</v>
      </c>
      <c r="CQ814">
        <v>209</v>
      </c>
      <c r="CR814">
        <v>3</v>
      </c>
      <c r="CW814">
        <v>7236087</v>
      </c>
      <c r="CY814">
        <v>1</v>
      </c>
      <c r="CZ814">
        <v>0</v>
      </c>
      <c r="DA814">
        <v>1</v>
      </c>
      <c r="DB814">
        <v>0</v>
      </c>
      <c r="DC814">
        <v>0</v>
      </c>
      <c r="DD814">
        <v>1</v>
      </c>
      <c r="DE814">
        <v>0</v>
      </c>
      <c r="DF814">
        <v>0</v>
      </c>
      <c r="DG814">
        <v>0</v>
      </c>
      <c r="DH814">
        <v>0</v>
      </c>
      <c r="DI814">
        <v>0</v>
      </c>
    </row>
    <row r="815" spans="1:113" x14ac:dyDescent="0.3">
      <c r="A815" t="str">
        <f>"09/28/2021 13:57:16.620"</f>
        <v>09/28/2021 13:57:16.620</v>
      </c>
      <c r="C815" t="str">
        <f t="shared" si="41"/>
        <v>FFDFD3C0</v>
      </c>
      <c r="D815" t="s">
        <v>120</v>
      </c>
      <c r="E815">
        <v>12</v>
      </c>
      <c r="F815">
        <v>1012</v>
      </c>
      <c r="G815" t="s">
        <v>114</v>
      </c>
      <c r="J815" t="s">
        <v>121</v>
      </c>
      <c r="K815">
        <v>0</v>
      </c>
      <c r="L815">
        <v>3</v>
      </c>
      <c r="M815">
        <v>0</v>
      </c>
      <c r="N815">
        <v>2</v>
      </c>
      <c r="O815">
        <v>1</v>
      </c>
      <c r="P815">
        <v>0</v>
      </c>
      <c r="Q815">
        <v>0</v>
      </c>
      <c r="S815" t="str">
        <f>"13:57:16.414"</f>
        <v>13:57:16.414</v>
      </c>
      <c r="T815" t="str">
        <f>"13:57:15.914"</f>
        <v>13:57:15.914</v>
      </c>
      <c r="U815" t="str">
        <f t="shared" si="40"/>
        <v>A92BC1</v>
      </c>
      <c r="V815">
        <v>0</v>
      </c>
      <c r="W815">
        <v>0</v>
      </c>
      <c r="X815">
        <v>2</v>
      </c>
      <c r="Z815">
        <v>0</v>
      </c>
      <c r="AA815">
        <v>9</v>
      </c>
      <c r="AB815">
        <v>3</v>
      </c>
      <c r="AC815">
        <v>0</v>
      </c>
      <c r="AD815">
        <v>10</v>
      </c>
      <c r="AE815">
        <v>0</v>
      </c>
      <c r="AF815">
        <v>3</v>
      </c>
      <c r="AG815">
        <v>2</v>
      </c>
      <c r="AH815">
        <v>0</v>
      </c>
      <c r="AI815" t="s">
        <v>916</v>
      </c>
      <c r="AJ815">
        <v>45.827171999999997</v>
      </c>
      <c r="AK815" t="s">
        <v>917</v>
      </c>
      <c r="AL815">
        <v>-89.209113000000002</v>
      </c>
      <c r="AM815">
        <v>100</v>
      </c>
      <c r="AN815">
        <v>13900</v>
      </c>
      <c r="AO815" t="s">
        <v>118</v>
      </c>
      <c r="AP815">
        <v>143</v>
      </c>
      <c r="AQ815">
        <v>119</v>
      </c>
      <c r="AR815">
        <v>1536</v>
      </c>
      <c r="AZ815">
        <v>1200</v>
      </c>
      <c r="BA815">
        <v>1</v>
      </c>
      <c r="BB815" t="str">
        <f t="shared" si="42"/>
        <v xml:space="preserve">N690LS  </v>
      </c>
      <c r="BC815">
        <v>1</v>
      </c>
      <c r="BE815">
        <v>0</v>
      </c>
      <c r="BF815">
        <v>0</v>
      </c>
      <c r="BG815">
        <v>0</v>
      </c>
      <c r="BH815">
        <v>14350</v>
      </c>
      <c r="BI815">
        <v>1</v>
      </c>
      <c r="BJ815">
        <v>1</v>
      </c>
      <c r="BK815">
        <v>1</v>
      </c>
      <c r="BL815">
        <v>0</v>
      </c>
      <c r="BO815">
        <v>0</v>
      </c>
      <c r="BP815">
        <v>0</v>
      </c>
      <c r="BW815" t="str">
        <f>"13:57:16.418"</f>
        <v>13:57:16.418</v>
      </c>
      <c r="CJ815">
        <v>0</v>
      </c>
      <c r="CK815">
        <v>2</v>
      </c>
      <c r="CL815">
        <v>0</v>
      </c>
      <c r="CM815">
        <v>2</v>
      </c>
      <c r="CN815">
        <v>0</v>
      </c>
      <c r="CO815">
        <v>7</v>
      </c>
      <c r="CP815" t="s">
        <v>119</v>
      </c>
      <c r="CQ815">
        <v>197</v>
      </c>
      <c r="CR815">
        <v>0</v>
      </c>
      <c r="CW815">
        <v>16055762</v>
      </c>
      <c r="CY815">
        <v>1</v>
      </c>
      <c r="CZ815">
        <v>0</v>
      </c>
      <c r="DA815">
        <v>0</v>
      </c>
      <c r="DB815">
        <v>0</v>
      </c>
      <c r="DC815">
        <v>0</v>
      </c>
      <c r="DD815">
        <v>1</v>
      </c>
      <c r="DE815">
        <v>0</v>
      </c>
      <c r="DF815">
        <v>0</v>
      </c>
      <c r="DG815">
        <v>0</v>
      </c>
      <c r="DH815">
        <v>0</v>
      </c>
      <c r="DI815">
        <v>0</v>
      </c>
    </row>
    <row r="816" spans="1:113" x14ac:dyDescent="0.3">
      <c r="A816" t="str">
        <f>"09/28/2021 13:57:16.667"</f>
        <v>09/28/2021 13:57:16.667</v>
      </c>
      <c r="C816" t="str">
        <f t="shared" si="41"/>
        <v>FFDFD3C0</v>
      </c>
      <c r="D816" t="s">
        <v>113</v>
      </c>
      <c r="E816">
        <v>7</v>
      </c>
      <c r="H816">
        <v>170</v>
      </c>
      <c r="I816" t="s">
        <v>114</v>
      </c>
      <c r="J816" t="s">
        <v>115</v>
      </c>
      <c r="K816">
        <v>0</v>
      </c>
      <c r="L816">
        <v>3</v>
      </c>
      <c r="M816">
        <v>0</v>
      </c>
      <c r="N816">
        <v>2</v>
      </c>
      <c r="O816">
        <v>1</v>
      </c>
      <c r="P816">
        <v>0</v>
      </c>
      <c r="Q816">
        <v>0</v>
      </c>
      <c r="S816" t="str">
        <f>"13:57:16.414"</f>
        <v>13:57:16.414</v>
      </c>
      <c r="T816" t="str">
        <f>"13:57:15.914"</f>
        <v>13:57:15.914</v>
      </c>
      <c r="U816" t="str">
        <f t="shared" si="40"/>
        <v>A92BC1</v>
      </c>
      <c r="V816">
        <v>0</v>
      </c>
      <c r="W816">
        <v>0</v>
      </c>
      <c r="X816">
        <v>2</v>
      </c>
      <c r="Z816">
        <v>0</v>
      </c>
      <c r="AA816">
        <v>9</v>
      </c>
      <c r="AB816">
        <v>3</v>
      </c>
      <c r="AC816">
        <v>0</v>
      </c>
      <c r="AD816">
        <v>10</v>
      </c>
      <c r="AE816">
        <v>0</v>
      </c>
      <c r="AF816">
        <v>3</v>
      </c>
      <c r="AG816">
        <v>2</v>
      </c>
      <c r="AH816">
        <v>0</v>
      </c>
      <c r="AI816" t="s">
        <v>916</v>
      </c>
      <c r="AJ816">
        <v>45.827171999999997</v>
      </c>
      <c r="AK816" t="s">
        <v>917</v>
      </c>
      <c r="AL816">
        <v>-89.209113000000002</v>
      </c>
      <c r="AM816">
        <v>100</v>
      </c>
      <c r="AN816">
        <v>13900</v>
      </c>
      <c r="AO816" t="s">
        <v>118</v>
      </c>
      <c r="AP816">
        <v>143</v>
      </c>
      <c r="AQ816">
        <v>119</v>
      </c>
      <c r="AR816">
        <v>1536</v>
      </c>
      <c r="AZ816">
        <v>1200</v>
      </c>
      <c r="BA816">
        <v>1</v>
      </c>
      <c r="BB816" t="str">
        <f t="shared" si="42"/>
        <v xml:space="preserve">N690LS  </v>
      </c>
      <c r="BC816">
        <v>1</v>
      </c>
      <c r="BE816">
        <v>0</v>
      </c>
      <c r="BF816">
        <v>0</v>
      </c>
      <c r="BG816">
        <v>0</v>
      </c>
      <c r="BH816">
        <v>14350</v>
      </c>
      <c r="BI816">
        <v>1</v>
      </c>
      <c r="BJ816">
        <v>1</v>
      </c>
      <c r="BK816">
        <v>1</v>
      </c>
      <c r="BL816">
        <v>0</v>
      </c>
      <c r="BO816">
        <v>0</v>
      </c>
      <c r="BP816">
        <v>0</v>
      </c>
      <c r="BW816" t="str">
        <f>"13:57:16.418"</f>
        <v>13:57:16.418</v>
      </c>
      <c r="CJ816">
        <v>0</v>
      </c>
      <c r="CK816">
        <v>2</v>
      </c>
      <c r="CL816">
        <v>0</v>
      </c>
      <c r="CM816">
        <v>2</v>
      </c>
      <c r="CN816">
        <v>0</v>
      </c>
      <c r="CO816">
        <v>7</v>
      </c>
      <c r="CP816" t="s">
        <v>119</v>
      </c>
      <c r="CQ816">
        <v>197</v>
      </c>
      <c r="CR816">
        <v>0</v>
      </c>
      <c r="CW816">
        <v>16055762</v>
      </c>
      <c r="CY816">
        <v>1</v>
      </c>
      <c r="CZ816">
        <v>0</v>
      </c>
      <c r="DA816">
        <v>1</v>
      </c>
      <c r="DB816">
        <v>0</v>
      </c>
      <c r="DC816">
        <v>0</v>
      </c>
      <c r="DD816">
        <v>1</v>
      </c>
      <c r="DE816">
        <v>0</v>
      </c>
      <c r="DF816">
        <v>0</v>
      </c>
      <c r="DG816">
        <v>0</v>
      </c>
      <c r="DH816">
        <v>0</v>
      </c>
      <c r="DI816">
        <v>0</v>
      </c>
    </row>
    <row r="817" spans="1:113" x14ac:dyDescent="0.3">
      <c r="A817" t="str">
        <f>"09/28/2021 13:57:17.555"</f>
        <v>09/28/2021 13:57:17.555</v>
      </c>
      <c r="C817" t="str">
        <f t="shared" si="41"/>
        <v>FFDFD3C0</v>
      </c>
      <c r="D817" t="s">
        <v>113</v>
      </c>
      <c r="E817">
        <v>7</v>
      </c>
      <c r="H817">
        <v>170</v>
      </c>
      <c r="I817" t="s">
        <v>114</v>
      </c>
      <c r="J817" t="s">
        <v>115</v>
      </c>
      <c r="K817">
        <v>0</v>
      </c>
      <c r="L817">
        <v>3</v>
      </c>
      <c r="M817">
        <v>0</v>
      </c>
      <c r="N817">
        <v>2</v>
      </c>
      <c r="O817">
        <v>1</v>
      </c>
      <c r="P817">
        <v>0</v>
      </c>
      <c r="Q817">
        <v>0</v>
      </c>
      <c r="S817" t="str">
        <f>"13:57:17.320"</f>
        <v>13:57:17.320</v>
      </c>
      <c r="T817" t="str">
        <f>"13:57:16.920"</f>
        <v>13:57:16.920</v>
      </c>
      <c r="U817" t="str">
        <f t="shared" si="40"/>
        <v>A92BC1</v>
      </c>
      <c r="V817">
        <v>0</v>
      </c>
      <c r="W817">
        <v>0</v>
      </c>
      <c r="X817">
        <v>2</v>
      </c>
      <c r="Z817">
        <v>0</v>
      </c>
      <c r="AA817">
        <v>9</v>
      </c>
      <c r="AB817">
        <v>3</v>
      </c>
      <c r="AC817">
        <v>0</v>
      </c>
      <c r="AD817">
        <v>10</v>
      </c>
      <c r="AE817">
        <v>0</v>
      </c>
      <c r="AF817">
        <v>3</v>
      </c>
      <c r="AG817">
        <v>2</v>
      </c>
      <c r="AH817">
        <v>0</v>
      </c>
      <c r="AI817" t="s">
        <v>918</v>
      </c>
      <c r="AJ817">
        <v>45.827643999999999</v>
      </c>
      <c r="AK817" t="s">
        <v>919</v>
      </c>
      <c r="AL817">
        <v>-89.208233000000007</v>
      </c>
      <c r="AM817">
        <v>100</v>
      </c>
      <c r="AN817">
        <v>13900</v>
      </c>
      <c r="AO817" t="s">
        <v>118</v>
      </c>
      <c r="AP817">
        <v>143</v>
      </c>
      <c r="AQ817">
        <v>119</v>
      </c>
      <c r="AR817">
        <v>1536</v>
      </c>
      <c r="AZ817">
        <v>1200</v>
      </c>
      <c r="BA817">
        <v>1</v>
      </c>
      <c r="BB817" t="str">
        <f t="shared" si="42"/>
        <v xml:space="preserve">N690LS  </v>
      </c>
      <c r="BC817">
        <v>1</v>
      </c>
      <c r="BE817">
        <v>0</v>
      </c>
      <c r="BF817">
        <v>0</v>
      </c>
      <c r="BG817">
        <v>0</v>
      </c>
      <c r="BH817">
        <v>14375</v>
      </c>
      <c r="BI817">
        <v>1</v>
      </c>
      <c r="BJ817">
        <v>1</v>
      </c>
      <c r="BK817">
        <v>1</v>
      </c>
      <c r="BL817">
        <v>0</v>
      </c>
      <c r="BO817">
        <v>0</v>
      </c>
      <c r="BP817">
        <v>0</v>
      </c>
      <c r="BW817" t="str">
        <f>"13:57:17.322"</f>
        <v>13:57:17.322</v>
      </c>
      <c r="CJ817">
        <v>0</v>
      </c>
      <c r="CK817">
        <v>2</v>
      </c>
      <c r="CL817">
        <v>0</v>
      </c>
      <c r="CM817">
        <v>2</v>
      </c>
      <c r="CN817">
        <v>0</v>
      </c>
      <c r="CO817">
        <v>6</v>
      </c>
      <c r="CP817" t="s">
        <v>119</v>
      </c>
      <c r="CQ817">
        <v>209</v>
      </c>
      <c r="CR817">
        <v>3</v>
      </c>
      <c r="CW817">
        <v>7236684</v>
      </c>
      <c r="CY817">
        <v>1</v>
      </c>
      <c r="CZ817">
        <v>0</v>
      </c>
      <c r="DA817">
        <v>0</v>
      </c>
      <c r="DB817">
        <v>0</v>
      </c>
      <c r="DC817">
        <v>0</v>
      </c>
      <c r="DD817">
        <v>1</v>
      </c>
      <c r="DE817">
        <v>0</v>
      </c>
      <c r="DF817">
        <v>0</v>
      </c>
      <c r="DG817">
        <v>0</v>
      </c>
      <c r="DH817">
        <v>0</v>
      </c>
      <c r="DI817">
        <v>0</v>
      </c>
    </row>
    <row r="818" spans="1:113" x14ac:dyDescent="0.3">
      <c r="A818" t="str">
        <f>"09/28/2021 13:57:17.555"</f>
        <v>09/28/2021 13:57:17.555</v>
      </c>
      <c r="C818" t="str">
        <f t="shared" si="41"/>
        <v>FFDFD3C0</v>
      </c>
      <c r="D818" t="s">
        <v>120</v>
      </c>
      <c r="E818">
        <v>12</v>
      </c>
      <c r="F818">
        <v>1012</v>
      </c>
      <c r="G818" t="s">
        <v>114</v>
      </c>
      <c r="J818" t="s">
        <v>121</v>
      </c>
      <c r="K818">
        <v>0</v>
      </c>
      <c r="L818">
        <v>3</v>
      </c>
      <c r="M818">
        <v>0</v>
      </c>
      <c r="N818">
        <v>2</v>
      </c>
      <c r="O818">
        <v>1</v>
      </c>
      <c r="P818">
        <v>0</v>
      </c>
      <c r="Q818">
        <v>0</v>
      </c>
      <c r="S818" t="str">
        <f>"13:57:17.320"</f>
        <v>13:57:17.320</v>
      </c>
      <c r="T818" t="str">
        <f>"13:57:16.920"</f>
        <v>13:57:16.920</v>
      </c>
      <c r="U818" t="str">
        <f t="shared" si="40"/>
        <v>A92BC1</v>
      </c>
      <c r="V818">
        <v>0</v>
      </c>
      <c r="W818">
        <v>0</v>
      </c>
      <c r="X818">
        <v>2</v>
      </c>
      <c r="Z818">
        <v>0</v>
      </c>
      <c r="AA818">
        <v>9</v>
      </c>
      <c r="AB818">
        <v>3</v>
      </c>
      <c r="AC818">
        <v>0</v>
      </c>
      <c r="AD818">
        <v>10</v>
      </c>
      <c r="AE818">
        <v>0</v>
      </c>
      <c r="AF818">
        <v>3</v>
      </c>
      <c r="AG818">
        <v>2</v>
      </c>
      <c r="AH818">
        <v>0</v>
      </c>
      <c r="AI818" t="s">
        <v>918</v>
      </c>
      <c r="AJ818">
        <v>45.827643999999999</v>
      </c>
      <c r="AK818" t="s">
        <v>919</v>
      </c>
      <c r="AL818">
        <v>-89.208233000000007</v>
      </c>
      <c r="AM818">
        <v>100</v>
      </c>
      <c r="AN818">
        <v>13900</v>
      </c>
      <c r="AO818" t="s">
        <v>118</v>
      </c>
      <c r="AP818">
        <v>143</v>
      </c>
      <c r="AQ818">
        <v>119</v>
      </c>
      <c r="AR818">
        <v>1536</v>
      </c>
      <c r="AZ818">
        <v>1200</v>
      </c>
      <c r="BA818">
        <v>1</v>
      </c>
      <c r="BB818" t="str">
        <f t="shared" si="42"/>
        <v xml:space="preserve">N690LS  </v>
      </c>
      <c r="BC818">
        <v>1</v>
      </c>
      <c r="BE818">
        <v>0</v>
      </c>
      <c r="BF818">
        <v>0</v>
      </c>
      <c r="BG818">
        <v>0</v>
      </c>
      <c r="BH818">
        <v>14375</v>
      </c>
      <c r="BI818">
        <v>1</v>
      </c>
      <c r="BJ818">
        <v>1</v>
      </c>
      <c r="BK818">
        <v>1</v>
      </c>
      <c r="BL818">
        <v>0</v>
      </c>
      <c r="BO818">
        <v>0</v>
      </c>
      <c r="BP818">
        <v>0</v>
      </c>
      <c r="BW818" t="str">
        <f>"13:57:17.322"</f>
        <v>13:57:17.322</v>
      </c>
      <c r="CJ818">
        <v>0</v>
      </c>
      <c r="CK818">
        <v>2</v>
      </c>
      <c r="CL818">
        <v>0</v>
      </c>
      <c r="CM818">
        <v>2</v>
      </c>
      <c r="CN818">
        <v>0</v>
      </c>
      <c r="CO818">
        <v>6</v>
      </c>
      <c r="CP818" t="s">
        <v>119</v>
      </c>
      <c r="CQ818">
        <v>209</v>
      </c>
      <c r="CR818">
        <v>3</v>
      </c>
      <c r="CW818">
        <v>7236684</v>
      </c>
      <c r="CY818">
        <v>1</v>
      </c>
      <c r="CZ818">
        <v>0</v>
      </c>
      <c r="DA818">
        <v>1</v>
      </c>
      <c r="DB818">
        <v>0</v>
      </c>
      <c r="DC818">
        <v>0</v>
      </c>
      <c r="DD818">
        <v>1</v>
      </c>
      <c r="DE818">
        <v>0</v>
      </c>
      <c r="DF818">
        <v>0</v>
      </c>
      <c r="DG818">
        <v>0</v>
      </c>
      <c r="DH818">
        <v>0</v>
      </c>
      <c r="DI818">
        <v>0</v>
      </c>
    </row>
    <row r="819" spans="1:113" x14ac:dyDescent="0.3">
      <c r="A819" t="str">
        <f>"09/28/2021 13:57:18.367"</f>
        <v>09/28/2021 13:57:18.367</v>
      </c>
      <c r="C819" t="str">
        <f t="shared" si="41"/>
        <v>FFDFD3C0</v>
      </c>
      <c r="D819" t="s">
        <v>113</v>
      </c>
      <c r="E819">
        <v>7</v>
      </c>
      <c r="H819">
        <v>170</v>
      </c>
      <c r="I819" t="s">
        <v>114</v>
      </c>
      <c r="J819" t="s">
        <v>115</v>
      </c>
      <c r="K819">
        <v>0</v>
      </c>
      <c r="L819">
        <v>3</v>
      </c>
      <c r="M819">
        <v>0</v>
      </c>
      <c r="N819">
        <v>2</v>
      </c>
      <c r="O819">
        <v>1</v>
      </c>
      <c r="P819">
        <v>0</v>
      </c>
      <c r="Q819">
        <v>0</v>
      </c>
      <c r="S819" t="str">
        <f>"13:57:18.164"</f>
        <v>13:57:18.164</v>
      </c>
      <c r="T819" t="str">
        <f>"13:57:17.764"</f>
        <v>13:57:17.764</v>
      </c>
      <c r="U819" t="str">
        <f t="shared" si="40"/>
        <v>A92BC1</v>
      </c>
      <c r="V819">
        <v>0</v>
      </c>
      <c r="W819">
        <v>0</v>
      </c>
      <c r="X819">
        <v>2</v>
      </c>
      <c r="Z819">
        <v>0</v>
      </c>
      <c r="AA819">
        <v>9</v>
      </c>
      <c r="AB819">
        <v>3</v>
      </c>
      <c r="AC819">
        <v>0</v>
      </c>
      <c r="AD819">
        <v>10</v>
      </c>
      <c r="AE819">
        <v>0</v>
      </c>
      <c r="AF819">
        <v>3</v>
      </c>
      <c r="AG819">
        <v>2</v>
      </c>
      <c r="AH819">
        <v>0</v>
      </c>
      <c r="AI819" t="s">
        <v>920</v>
      </c>
      <c r="AJ819">
        <v>45.828136999999998</v>
      </c>
      <c r="AK819" t="s">
        <v>921</v>
      </c>
      <c r="AL819">
        <v>-89.207374999999999</v>
      </c>
      <c r="AM819">
        <v>100</v>
      </c>
      <c r="AN819">
        <v>13900</v>
      </c>
      <c r="AO819" t="s">
        <v>118</v>
      </c>
      <c r="AP819">
        <v>143</v>
      </c>
      <c r="AQ819">
        <v>119</v>
      </c>
      <c r="AR819">
        <v>1536</v>
      </c>
      <c r="AZ819">
        <v>1200</v>
      </c>
      <c r="BA819">
        <v>1</v>
      </c>
      <c r="BB819" t="str">
        <f t="shared" si="42"/>
        <v xml:space="preserve">N690LS  </v>
      </c>
      <c r="BC819">
        <v>1</v>
      </c>
      <c r="BE819">
        <v>0</v>
      </c>
      <c r="BF819">
        <v>0</v>
      </c>
      <c r="BG819">
        <v>0</v>
      </c>
      <c r="BH819">
        <v>14375</v>
      </c>
      <c r="BI819">
        <v>1</v>
      </c>
      <c r="BJ819">
        <v>1</v>
      </c>
      <c r="BK819">
        <v>1</v>
      </c>
      <c r="BL819">
        <v>0</v>
      </c>
      <c r="BO819">
        <v>0</v>
      </c>
      <c r="BP819">
        <v>0</v>
      </c>
      <c r="BW819" t="str">
        <f>"13:57:18.166"</f>
        <v>13:57:18.166</v>
      </c>
      <c r="CJ819">
        <v>0</v>
      </c>
      <c r="CK819">
        <v>2</v>
      </c>
      <c r="CL819">
        <v>0</v>
      </c>
      <c r="CM819">
        <v>2</v>
      </c>
      <c r="CN819">
        <v>0</v>
      </c>
      <c r="CO819">
        <v>6</v>
      </c>
      <c r="CP819" t="s">
        <v>119</v>
      </c>
      <c r="CQ819">
        <v>209</v>
      </c>
      <c r="CR819">
        <v>3</v>
      </c>
      <c r="CW819">
        <v>7236996</v>
      </c>
      <c r="CY819">
        <v>1</v>
      </c>
      <c r="CZ819">
        <v>0</v>
      </c>
      <c r="DA819">
        <v>0</v>
      </c>
      <c r="DB819">
        <v>0</v>
      </c>
      <c r="DC819">
        <v>0</v>
      </c>
      <c r="DD819">
        <v>1</v>
      </c>
      <c r="DE819">
        <v>0</v>
      </c>
      <c r="DF819">
        <v>0</v>
      </c>
      <c r="DG819">
        <v>0</v>
      </c>
      <c r="DH819">
        <v>0</v>
      </c>
      <c r="DI819">
        <v>0</v>
      </c>
    </row>
    <row r="820" spans="1:113" x14ac:dyDescent="0.3">
      <c r="A820" t="str">
        <f>"09/28/2021 13:57:18.445"</f>
        <v>09/28/2021 13:57:18.445</v>
      </c>
      <c r="C820" t="str">
        <f t="shared" si="41"/>
        <v>FFDFD3C0</v>
      </c>
      <c r="D820" t="s">
        <v>120</v>
      </c>
      <c r="E820">
        <v>12</v>
      </c>
      <c r="F820">
        <v>1012</v>
      </c>
      <c r="G820" t="s">
        <v>114</v>
      </c>
      <c r="J820" t="s">
        <v>121</v>
      </c>
      <c r="K820">
        <v>0</v>
      </c>
      <c r="L820">
        <v>3</v>
      </c>
      <c r="M820">
        <v>0</v>
      </c>
      <c r="N820">
        <v>2</v>
      </c>
      <c r="O820">
        <v>1</v>
      </c>
      <c r="P820">
        <v>0</v>
      </c>
      <c r="Q820">
        <v>0</v>
      </c>
      <c r="S820" t="str">
        <f>"13:57:18.164"</f>
        <v>13:57:18.164</v>
      </c>
      <c r="T820" t="str">
        <f>"13:57:17.764"</f>
        <v>13:57:17.764</v>
      </c>
      <c r="U820" t="str">
        <f t="shared" si="40"/>
        <v>A92BC1</v>
      </c>
      <c r="V820">
        <v>0</v>
      </c>
      <c r="W820">
        <v>0</v>
      </c>
      <c r="X820">
        <v>2</v>
      </c>
      <c r="Z820">
        <v>0</v>
      </c>
      <c r="AA820">
        <v>9</v>
      </c>
      <c r="AB820">
        <v>3</v>
      </c>
      <c r="AC820">
        <v>0</v>
      </c>
      <c r="AD820">
        <v>10</v>
      </c>
      <c r="AE820">
        <v>0</v>
      </c>
      <c r="AF820">
        <v>3</v>
      </c>
      <c r="AG820">
        <v>2</v>
      </c>
      <c r="AH820">
        <v>0</v>
      </c>
      <c r="AI820" t="s">
        <v>920</v>
      </c>
      <c r="AJ820">
        <v>45.828136999999998</v>
      </c>
      <c r="AK820" t="s">
        <v>921</v>
      </c>
      <c r="AL820">
        <v>-89.207374999999999</v>
      </c>
      <c r="AM820">
        <v>100</v>
      </c>
      <c r="AN820">
        <v>13900</v>
      </c>
      <c r="AO820" t="s">
        <v>118</v>
      </c>
      <c r="AP820">
        <v>143</v>
      </c>
      <c r="AQ820">
        <v>119</v>
      </c>
      <c r="AR820">
        <v>1536</v>
      </c>
      <c r="AZ820">
        <v>1200</v>
      </c>
      <c r="BA820">
        <v>1</v>
      </c>
      <c r="BB820" t="str">
        <f t="shared" si="42"/>
        <v xml:space="preserve">N690LS  </v>
      </c>
      <c r="BC820">
        <v>1</v>
      </c>
      <c r="BE820">
        <v>0</v>
      </c>
      <c r="BF820">
        <v>0</v>
      </c>
      <c r="BG820">
        <v>0</v>
      </c>
      <c r="BH820">
        <v>14375</v>
      </c>
      <c r="BI820">
        <v>1</v>
      </c>
      <c r="BJ820">
        <v>1</v>
      </c>
      <c r="BK820">
        <v>1</v>
      </c>
      <c r="BL820">
        <v>0</v>
      </c>
      <c r="BO820">
        <v>0</v>
      </c>
      <c r="BP820">
        <v>0</v>
      </c>
      <c r="BW820" t="str">
        <f>"13:57:18.166"</f>
        <v>13:57:18.166</v>
      </c>
      <c r="CJ820">
        <v>0</v>
      </c>
      <c r="CK820">
        <v>2</v>
      </c>
      <c r="CL820">
        <v>0</v>
      </c>
      <c r="CM820">
        <v>2</v>
      </c>
      <c r="CN820">
        <v>0</v>
      </c>
      <c r="CO820">
        <v>6</v>
      </c>
      <c r="CP820" t="s">
        <v>119</v>
      </c>
      <c r="CQ820">
        <v>209</v>
      </c>
      <c r="CR820">
        <v>3</v>
      </c>
      <c r="CW820">
        <v>7236996</v>
      </c>
      <c r="CY820">
        <v>1</v>
      </c>
      <c r="CZ820">
        <v>0</v>
      </c>
      <c r="DA820">
        <v>1</v>
      </c>
      <c r="DB820">
        <v>0</v>
      </c>
      <c r="DC820">
        <v>0</v>
      </c>
      <c r="DD820">
        <v>1</v>
      </c>
      <c r="DE820">
        <v>0</v>
      </c>
      <c r="DF820">
        <v>0</v>
      </c>
      <c r="DG820">
        <v>0</v>
      </c>
      <c r="DH820">
        <v>0</v>
      </c>
      <c r="DI820">
        <v>0</v>
      </c>
    </row>
    <row r="821" spans="1:113" x14ac:dyDescent="0.3">
      <c r="A821" t="str">
        <f>"09/28/2021 13:57:19.431"</f>
        <v>09/28/2021 13:57:19.431</v>
      </c>
      <c r="C821" t="str">
        <f t="shared" si="41"/>
        <v>FFDFD3C0</v>
      </c>
      <c r="D821" t="s">
        <v>113</v>
      </c>
      <c r="E821">
        <v>7</v>
      </c>
      <c r="H821">
        <v>170</v>
      </c>
      <c r="I821" t="s">
        <v>114</v>
      </c>
      <c r="J821" t="s">
        <v>115</v>
      </c>
      <c r="K821">
        <v>0</v>
      </c>
      <c r="L821">
        <v>3</v>
      </c>
      <c r="M821">
        <v>0</v>
      </c>
      <c r="N821">
        <v>2</v>
      </c>
      <c r="O821">
        <v>1</v>
      </c>
      <c r="P821">
        <v>0</v>
      </c>
      <c r="Q821">
        <v>0</v>
      </c>
      <c r="S821" t="str">
        <f>"13:57:19.242"</f>
        <v>13:57:19.242</v>
      </c>
      <c r="T821" t="str">
        <f>"13:57:18.842"</f>
        <v>13:57:18.842</v>
      </c>
      <c r="U821" t="str">
        <f t="shared" si="40"/>
        <v>A92BC1</v>
      </c>
      <c r="V821">
        <v>0</v>
      </c>
      <c r="W821">
        <v>0</v>
      </c>
      <c r="X821">
        <v>2</v>
      </c>
      <c r="Z821">
        <v>0</v>
      </c>
      <c r="AA821">
        <v>9</v>
      </c>
      <c r="AB821">
        <v>3</v>
      </c>
      <c r="AC821">
        <v>0</v>
      </c>
      <c r="AD821">
        <v>10</v>
      </c>
      <c r="AE821">
        <v>0</v>
      </c>
      <c r="AF821">
        <v>3</v>
      </c>
      <c r="AG821">
        <v>2</v>
      </c>
      <c r="AH821">
        <v>0</v>
      </c>
      <c r="AI821" t="s">
        <v>922</v>
      </c>
      <c r="AJ821">
        <v>45.828760000000003</v>
      </c>
      <c r="AK821" t="s">
        <v>923</v>
      </c>
      <c r="AL821">
        <v>-89.206367</v>
      </c>
      <c r="AM821">
        <v>100</v>
      </c>
      <c r="AN821">
        <v>14000</v>
      </c>
      <c r="AO821" t="s">
        <v>118</v>
      </c>
      <c r="AP821">
        <v>143</v>
      </c>
      <c r="AQ821">
        <v>119</v>
      </c>
      <c r="AR821">
        <v>1536</v>
      </c>
      <c r="AZ821">
        <v>1200</v>
      </c>
      <c r="BA821">
        <v>1</v>
      </c>
      <c r="BB821" t="str">
        <f t="shared" si="42"/>
        <v xml:space="preserve">N690LS  </v>
      </c>
      <c r="BC821">
        <v>1</v>
      </c>
      <c r="BE821">
        <v>0</v>
      </c>
      <c r="BF821">
        <v>0</v>
      </c>
      <c r="BG821">
        <v>0</v>
      </c>
      <c r="BH821">
        <v>14400</v>
      </c>
      <c r="BI821">
        <v>1</v>
      </c>
      <c r="BJ821">
        <v>1</v>
      </c>
      <c r="BK821">
        <v>1</v>
      </c>
      <c r="BL821">
        <v>0</v>
      </c>
      <c r="BO821">
        <v>0</v>
      </c>
      <c r="BP821">
        <v>0</v>
      </c>
      <c r="BW821" t="str">
        <f>"13:57:19.243"</f>
        <v>13:57:19.243</v>
      </c>
      <c r="CJ821">
        <v>0</v>
      </c>
      <c r="CK821">
        <v>2</v>
      </c>
      <c r="CL821">
        <v>0</v>
      </c>
      <c r="CM821">
        <v>2</v>
      </c>
      <c r="CN821">
        <v>0</v>
      </c>
      <c r="CO821">
        <v>6</v>
      </c>
      <c r="CP821" t="s">
        <v>119</v>
      </c>
      <c r="CQ821">
        <v>209</v>
      </c>
      <c r="CR821">
        <v>3</v>
      </c>
      <c r="CW821">
        <v>7237372</v>
      </c>
      <c r="CY821">
        <v>1</v>
      </c>
      <c r="CZ821">
        <v>0</v>
      </c>
      <c r="DA821">
        <v>0</v>
      </c>
      <c r="DB821">
        <v>0</v>
      </c>
      <c r="DC821">
        <v>0</v>
      </c>
      <c r="DD821">
        <v>1</v>
      </c>
      <c r="DE821">
        <v>0</v>
      </c>
      <c r="DF821">
        <v>0</v>
      </c>
      <c r="DG821">
        <v>0</v>
      </c>
      <c r="DH821">
        <v>0</v>
      </c>
      <c r="DI821">
        <v>0</v>
      </c>
    </row>
    <row r="822" spans="1:113" x14ac:dyDescent="0.3">
      <c r="A822" t="str">
        <f>"09/28/2021 13:57:19.446"</f>
        <v>09/28/2021 13:57:19.446</v>
      </c>
      <c r="C822" t="str">
        <f t="shared" si="41"/>
        <v>FFDFD3C0</v>
      </c>
      <c r="D822" t="s">
        <v>120</v>
      </c>
      <c r="E822">
        <v>12</v>
      </c>
      <c r="F822">
        <v>1012</v>
      </c>
      <c r="G822" t="s">
        <v>114</v>
      </c>
      <c r="J822" t="s">
        <v>121</v>
      </c>
      <c r="K822">
        <v>0</v>
      </c>
      <c r="L822">
        <v>3</v>
      </c>
      <c r="M822">
        <v>0</v>
      </c>
      <c r="N822">
        <v>2</v>
      </c>
      <c r="O822">
        <v>1</v>
      </c>
      <c r="P822">
        <v>0</v>
      </c>
      <c r="Q822">
        <v>0</v>
      </c>
      <c r="S822" t="str">
        <f>"13:57:19.242"</f>
        <v>13:57:19.242</v>
      </c>
      <c r="T822" t="str">
        <f>"13:57:18.842"</f>
        <v>13:57:18.842</v>
      </c>
      <c r="U822" t="str">
        <f t="shared" si="40"/>
        <v>A92BC1</v>
      </c>
      <c r="V822">
        <v>0</v>
      </c>
      <c r="W822">
        <v>0</v>
      </c>
      <c r="X822">
        <v>2</v>
      </c>
      <c r="Z822">
        <v>0</v>
      </c>
      <c r="AA822">
        <v>9</v>
      </c>
      <c r="AB822">
        <v>3</v>
      </c>
      <c r="AC822">
        <v>0</v>
      </c>
      <c r="AD822">
        <v>10</v>
      </c>
      <c r="AE822">
        <v>0</v>
      </c>
      <c r="AF822">
        <v>3</v>
      </c>
      <c r="AG822">
        <v>2</v>
      </c>
      <c r="AH822">
        <v>0</v>
      </c>
      <c r="AI822" t="s">
        <v>922</v>
      </c>
      <c r="AJ822">
        <v>45.828760000000003</v>
      </c>
      <c r="AK822" t="s">
        <v>923</v>
      </c>
      <c r="AL822">
        <v>-89.206367</v>
      </c>
      <c r="AM822">
        <v>100</v>
      </c>
      <c r="AN822">
        <v>14000</v>
      </c>
      <c r="AO822" t="s">
        <v>118</v>
      </c>
      <c r="AP822">
        <v>143</v>
      </c>
      <c r="AQ822">
        <v>119</v>
      </c>
      <c r="AR822">
        <v>1536</v>
      </c>
      <c r="AZ822">
        <v>1200</v>
      </c>
      <c r="BA822">
        <v>1</v>
      </c>
      <c r="BB822" t="str">
        <f t="shared" si="42"/>
        <v xml:space="preserve">N690LS  </v>
      </c>
      <c r="BC822">
        <v>1</v>
      </c>
      <c r="BE822">
        <v>0</v>
      </c>
      <c r="BF822">
        <v>0</v>
      </c>
      <c r="BG822">
        <v>0</v>
      </c>
      <c r="BH822">
        <v>14400</v>
      </c>
      <c r="BI822">
        <v>1</v>
      </c>
      <c r="BJ822">
        <v>1</v>
      </c>
      <c r="BK822">
        <v>1</v>
      </c>
      <c r="BL822">
        <v>0</v>
      </c>
      <c r="BO822">
        <v>0</v>
      </c>
      <c r="BP822">
        <v>0</v>
      </c>
      <c r="BW822" t="str">
        <f>"13:57:19.243"</f>
        <v>13:57:19.243</v>
      </c>
      <c r="CJ822">
        <v>0</v>
      </c>
      <c r="CK822">
        <v>2</v>
      </c>
      <c r="CL822">
        <v>0</v>
      </c>
      <c r="CM822">
        <v>2</v>
      </c>
      <c r="CN822">
        <v>0</v>
      </c>
      <c r="CO822">
        <v>6</v>
      </c>
      <c r="CP822" t="s">
        <v>119</v>
      </c>
      <c r="CQ822">
        <v>209</v>
      </c>
      <c r="CR822">
        <v>3</v>
      </c>
      <c r="CW822">
        <v>7237372</v>
      </c>
      <c r="CY822">
        <v>1</v>
      </c>
      <c r="CZ822">
        <v>0</v>
      </c>
      <c r="DA822">
        <v>1</v>
      </c>
      <c r="DB822">
        <v>0</v>
      </c>
      <c r="DC822">
        <v>0</v>
      </c>
      <c r="DD822">
        <v>1</v>
      </c>
      <c r="DE822">
        <v>0</v>
      </c>
      <c r="DF822">
        <v>0</v>
      </c>
      <c r="DG822">
        <v>0</v>
      </c>
      <c r="DH822">
        <v>0</v>
      </c>
      <c r="DI822">
        <v>0</v>
      </c>
    </row>
    <row r="823" spans="1:113" x14ac:dyDescent="0.3">
      <c r="A823" t="str">
        <f>"09/28/2021 13:57:20.447"</f>
        <v>09/28/2021 13:57:20.447</v>
      </c>
      <c r="C823" t="str">
        <f t="shared" si="41"/>
        <v>FFDFD3C0</v>
      </c>
      <c r="D823" t="s">
        <v>113</v>
      </c>
      <c r="E823">
        <v>7</v>
      </c>
      <c r="H823">
        <v>170</v>
      </c>
      <c r="I823" t="s">
        <v>114</v>
      </c>
      <c r="J823" t="s">
        <v>115</v>
      </c>
      <c r="K823">
        <v>0</v>
      </c>
      <c r="L823">
        <v>3</v>
      </c>
      <c r="M823">
        <v>0</v>
      </c>
      <c r="N823">
        <v>2</v>
      </c>
      <c r="O823">
        <v>1</v>
      </c>
      <c r="P823">
        <v>0</v>
      </c>
      <c r="Q823">
        <v>0</v>
      </c>
      <c r="S823" t="str">
        <f>"13:57:20.188"</f>
        <v>13:57:20.188</v>
      </c>
      <c r="T823" t="str">
        <f>"13:57:19.788"</f>
        <v>13:57:19.788</v>
      </c>
      <c r="U823" t="str">
        <f t="shared" si="40"/>
        <v>A92BC1</v>
      </c>
      <c r="V823">
        <v>0</v>
      </c>
      <c r="W823">
        <v>0</v>
      </c>
      <c r="X823">
        <v>2</v>
      </c>
      <c r="Z823">
        <v>0</v>
      </c>
      <c r="AA823">
        <v>9</v>
      </c>
      <c r="AB823">
        <v>3</v>
      </c>
      <c r="AC823">
        <v>0</v>
      </c>
      <c r="AD823">
        <v>10</v>
      </c>
      <c r="AE823">
        <v>0</v>
      </c>
      <c r="AF823">
        <v>3</v>
      </c>
      <c r="AG823">
        <v>2</v>
      </c>
      <c r="AH823">
        <v>0</v>
      </c>
      <c r="AI823" t="s">
        <v>924</v>
      </c>
      <c r="AJ823">
        <v>45.829231999999998</v>
      </c>
      <c r="AK823" t="s">
        <v>925</v>
      </c>
      <c r="AL823">
        <v>-89.205507999999995</v>
      </c>
      <c r="AM823">
        <v>100</v>
      </c>
      <c r="AN823">
        <v>14000</v>
      </c>
      <c r="AO823" t="s">
        <v>118</v>
      </c>
      <c r="AP823">
        <v>143</v>
      </c>
      <c r="AQ823">
        <v>119</v>
      </c>
      <c r="AR823">
        <v>1536</v>
      </c>
      <c r="AZ823">
        <v>1200</v>
      </c>
      <c r="BA823">
        <v>1</v>
      </c>
      <c r="BB823" t="str">
        <f t="shared" si="42"/>
        <v xml:space="preserve">N690LS  </v>
      </c>
      <c r="BC823">
        <v>1</v>
      </c>
      <c r="BE823">
        <v>0</v>
      </c>
      <c r="BF823">
        <v>0</v>
      </c>
      <c r="BG823">
        <v>0</v>
      </c>
      <c r="BH823">
        <v>14450</v>
      </c>
      <c r="BI823">
        <v>1</v>
      </c>
      <c r="BJ823">
        <v>1</v>
      </c>
      <c r="BK823">
        <v>1</v>
      </c>
      <c r="BL823">
        <v>0</v>
      </c>
      <c r="BO823">
        <v>0</v>
      </c>
      <c r="BP823">
        <v>0</v>
      </c>
      <c r="BW823" t="str">
        <f>"13:57:20.188"</f>
        <v>13:57:20.188</v>
      </c>
      <c r="CJ823">
        <v>0</v>
      </c>
      <c r="CK823">
        <v>2</v>
      </c>
      <c r="CL823">
        <v>0</v>
      </c>
      <c r="CM823">
        <v>2</v>
      </c>
      <c r="CN823">
        <v>0</v>
      </c>
      <c r="CO823">
        <v>6</v>
      </c>
      <c r="CP823" t="s">
        <v>119</v>
      </c>
      <c r="CQ823">
        <v>209</v>
      </c>
      <c r="CR823">
        <v>3</v>
      </c>
      <c r="CW823">
        <v>7237665</v>
      </c>
      <c r="CY823">
        <v>1</v>
      </c>
      <c r="CZ823">
        <v>0</v>
      </c>
      <c r="DA823">
        <v>0</v>
      </c>
      <c r="DB823">
        <v>0</v>
      </c>
      <c r="DC823">
        <v>0</v>
      </c>
      <c r="DD823">
        <v>1</v>
      </c>
      <c r="DE823">
        <v>0</v>
      </c>
      <c r="DF823">
        <v>0</v>
      </c>
      <c r="DG823">
        <v>0</v>
      </c>
      <c r="DH823">
        <v>0</v>
      </c>
      <c r="DI823">
        <v>0</v>
      </c>
    </row>
    <row r="824" spans="1:113" x14ac:dyDescent="0.3">
      <c r="A824" t="str">
        <f>"09/28/2021 13:57:20.447"</f>
        <v>09/28/2021 13:57:20.447</v>
      </c>
      <c r="C824" t="str">
        <f t="shared" si="41"/>
        <v>FFDFD3C0</v>
      </c>
      <c r="D824" t="s">
        <v>120</v>
      </c>
      <c r="E824">
        <v>12</v>
      </c>
      <c r="F824">
        <v>1012</v>
      </c>
      <c r="G824" t="s">
        <v>114</v>
      </c>
      <c r="J824" t="s">
        <v>121</v>
      </c>
      <c r="K824">
        <v>0</v>
      </c>
      <c r="L824">
        <v>3</v>
      </c>
      <c r="M824">
        <v>0</v>
      </c>
      <c r="N824">
        <v>2</v>
      </c>
      <c r="O824">
        <v>1</v>
      </c>
      <c r="P824">
        <v>0</v>
      </c>
      <c r="Q824">
        <v>0</v>
      </c>
      <c r="S824" t="str">
        <f>"13:57:20.188"</f>
        <v>13:57:20.188</v>
      </c>
      <c r="T824" t="str">
        <f>"13:57:19.788"</f>
        <v>13:57:19.788</v>
      </c>
      <c r="U824" t="str">
        <f t="shared" si="40"/>
        <v>A92BC1</v>
      </c>
      <c r="V824">
        <v>0</v>
      </c>
      <c r="W824">
        <v>0</v>
      </c>
      <c r="X824">
        <v>2</v>
      </c>
      <c r="Z824">
        <v>0</v>
      </c>
      <c r="AA824">
        <v>9</v>
      </c>
      <c r="AB824">
        <v>3</v>
      </c>
      <c r="AC824">
        <v>0</v>
      </c>
      <c r="AD824">
        <v>10</v>
      </c>
      <c r="AE824">
        <v>0</v>
      </c>
      <c r="AF824">
        <v>3</v>
      </c>
      <c r="AG824">
        <v>2</v>
      </c>
      <c r="AH824">
        <v>0</v>
      </c>
      <c r="AI824" t="s">
        <v>924</v>
      </c>
      <c r="AJ824">
        <v>45.829231999999998</v>
      </c>
      <c r="AK824" t="s">
        <v>925</v>
      </c>
      <c r="AL824">
        <v>-89.205507999999995</v>
      </c>
      <c r="AM824">
        <v>100</v>
      </c>
      <c r="AN824">
        <v>14000</v>
      </c>
      <c r="AO824" t="s">
        <v>118</v>
      </c>
      <c r="AP824">
        <v>143</v>
      </c>
      <c r="AQ824">
        <v>119</v>
      </c>
      <c r="AR824">
        <v>1536</v>
      </c>
      <c r="AZ824">
        <v>1200</v>
      </c>
      <c r="BA824">
        <v>1</v>
      </c>
      <c r="BB824" t="str">
        <f t="shared" si="42"/>
        <v xml:space="preserve">N690LS  </v>
      </c>
      <c r="BC824">
        <v>1</v>
      </c>
      <c r="BE824">
        <v>0</v>
      </c>
      <c r="BF824">
        <v>0</v>
      </c>
      <c r="BG824">
        <v>0</v>
      </c>
      <c r="BH824">
        <v>14450</v>
      </c>
      <c r="BI824">
        <v>1</v>
      </c>
      <c r="BJ824">
        <v>1</v>
      </c>
      <c r="BK824">
        <v>1</v>
      </c>
      <c r="BL824">
        <v>0</v>
      </c>
      <c r="BO824">
        <v>0</v>
      </c>
      <c r="BP824">
        <v>0</v>
      </c>
      <c r="BW824" t="str">
        <f>"13:57:20.188"</f>
        <v>13:57:20.188</v>
      </c>
      <c r="CJ824">
        <v>0</v>
      </c>
      <c r="CK824">
        <v>2</v>
      </c>
      <c r="CL824">
        <v>0</v>
      </c>
      <c r="CM824">
        <v>2</v>
      </c>
      <c r="CN824">
        <v>0</v>
      </c>
      <c r="CO824">
        <v>6</v>
      </c>
      <c r="CP824" t="s">
        <v>119</v>
      </c>
      <c r="CQ824">
        <v>209</v>
      </c>
      <c r="CR824">
        <v>3</v>
      </c>
      <c r="CW824">
        <v>7237665</v>
      </c>
      <c r="CY824">
        <v>1</v>
      </c>
      <c r="CZ824">
        <v>0</v>
      </c>
      <c r="DA824">
        <v>1</v>
      </c>
      <c r="DB824">
        <v>0</v>
      </c>
      <c r="DC824">
        <v>0</v>
      </c>
      <c r="DD824">
        <v>1</v>
      </c>
      <c r="DE824">
        <v>0</v>
      </c>
      <c r="DF824">
        <v>0</v>
      </c>
      <c r="DG824">
        <v>0</v>
      </c>
      <c r="DH824">
        <v>0</v>
      </c>
      <c r="DI824">
        <v>0</v>
      </c>
    </row>
    <row r="825" spans="1:113" x14ac:dyDescent="0.3">
      <c r="A825" t="str">
        <f>"09/28/2021 13:57:21.275"</f>
        <v>09/28/2021 13:57:21.275</v>
      </c>
      <c r="C825" t="str">
        <f t="shared" si="41"/>
        <v>FFDFD3C0</v>
      </c>
      <c r="D825" t="s">
        <v>113</v>
      </c>
      <c r="E825">
        <v>7</v>
      </c>
      <c r="H825">
        <v>170</v>
      </c>
      <c r="I825" t="s">
        <v>114</v>
      </c>
      <c r="J825" t="s">
        <v>115</v>
      </c>
      <c r="K825">
        <v>0</v>
      </c>
      <c r="L825">
        <v>3</v>
      </c>
      <c r="M825">
        <v>0</v>
      </c>
      <c r="N825">
        <v>2</v>
      </c>
      <c r="O825">
        <v>1</v>
      </c>
      <c r="P825">
        <v>0</v>
      </c>
      <c r="Q825">
        <v>0</v>
      </c>
      <c r="S825" t="str">
        <f>"13:57:21.070"</f>
        <v>13:57:21.070</v>
      </c>
      <c r="T825" t="str">
        <f>"13:57:20.670"</f>
        <v>13:57:20.670</v>
      </c>
      <c r="U825" t="str">
        <f t="shared" si="40"/>
        <v>A92BC1</v>
      </c>
      <c r="V825">
        <v>0</v>
      </c>
      <c r="W825">
        <v>0</v>
      </c>
      <c r="X825">
        <v>2</v>
      </c>
      <c r="Z825">
        <v>0</v>
      </c>
      <c r="AA825">
        <v>9</v>
      </c>
      <c r="AB825">
        <v>3</v>
      </c>
      <c r="AC825">
        <v>0</v>
      </c>
      <c r="AD825">
        <v>10</v>
      </c>
      <c r="AE825">
        <v>0</v>
      </c>
      <c r="AF825">
        <v>3</v>
      </c>
      <c r="AG825">
        <v>2</v>
      </c>
      <c r="AH825">
        <v>0</v>
      </c>
      <c r="AI825" t="s">
        <v>926</v>
      </c>
      <c r="AJ825">
        <v>45.829746999999998</v>
      </c>
      <c r="AK825" t="s">
        <v>927</v>
      </c>
      <c r="AL825">
        <v>-89.204650000000001</v>
      </c>
      <c r="AM825">
        <v>100</v>
      </c>
      <c r="AN825">
        <v>14000</v>
      </c>
      <c r="AO825" t="s">
        <v>118</v>
      </c>
      <c r="AP825">
        <v>142</v>
      </c>
      <c r="AQ825">
        <v>120</v>
      </c>
      <c r="AR825">
        <v>1536</v>
      </c>
      <c r="AZ825">
        <v>1200</v>
      </c>
      <c r="BA825">
        <v>1</v>
      </c>
      <c r="BB825" t="str">
        <f t="shared" si="42"/>
        <v xml:space="preserve">N690LS  </v>
      </c>
      <c r="BC825">
        <v>1</v>
      </c>
      <c r="BE825">
        <v>0</v>
      </c>
      <c r="BF825">
        <v>0</v>
      </c>
      <c r="BG825">
        <v>0</v>
      </c>
      <c r="BH825">
        <v>14475</v>
      </c>
      <c r="BI825">
        <v>1</v>
      </c>
      <c r="BJ825">
        <v>1</v>
      </c>
      <c r="BK825">
        <v>1</v>
      </c>
      <c r="BL825">
        <v>0</v>
      </c>
      <c r="BO825">
        <v>0</v>
      </c>
      <c r="BP825">
        <v>0</v>
      </c>
      <c r="BW825" t="str">
        <f>"13:57:21.074"</f>
        <v>13:57:21.074</v>
      </c>
      <c r="CJ825">
        <v>0</v>
      </c>
      <c r="CK825">
        <v>2</v>
      </c>
      <c r="CL825">
        <v>0</v>
      </c>
      <c r="CM825">
        <v>2</v>
      </c>
      <c r="CN825">
        <v>0</v>
      </c>
      <c r="CO825">
        <v>6</v>
      </c>
      <c r="CP825" t="s">
        <v>119</v>
      </c>
      <c r="CQ825">
        <v>209</v>
      </c>
      <c r="CR825">
        <v>3</v>
      </c>
      <c r="CW825">
        <v>7237937</v>
      </c>
      <c r="CY825">
        <v>1</v>
      </c>
      <c r="CZ825">
        <v>0</v>
      </c>
      <c r="DA825">
        <v>0</v>
      </c>
      <c r="DB825">
        <v>0</v>
      </c>
      <c r="DC825">
        <v>0</v>
      </c>
      <c r="DD825">
        <v>1</v>
      </c>
      <c r="DE825">
        <v>0</v>
      </c>
      <c r="DF825">
        <v>0</v>
      </c>
      <c r="DG825">
        <v>0</v>
      </c>
      <c r="DH825">
        <v>0</v>
      </c>
      <c r="DI825">
        <v>0</v>
      </c>
    </row>
    <row r="826" spans="1:113" x14ac:dyDescent="0.3">
      <c r="A826" t="str">
        <f>"09/28/2021 13:57:21.275"</f>
        <v>09/28/2021 13:57:21.275</v>
      </c>
      <c r="C826" t="str">
        <f t="shared" si="41"/>
        <v>FFDFD3C0</v>
      </c>
      <c r="D826" t="s">
        <v>120</v>
      </c>
      <c r="E826">
        <v>12</v>
      </c>
      <c r="F826">
        <v>1012</v>
      </c>
      <c r="G826" t="s">
        <v>114</v>
      </c>
      <c r="J826" t="s">
        <v>121</v>
      </c>
      <c r="K826">
        <v>0</v>
      </c>
      <c r="L826">
        <v>3</v>
      </c>
      <c r="M826">
        <v>0</v>
      </c>
      <c r="N826">
        <v>2</v>
      </c>
      <c r="O826">
        <v>1</v>
      </c>
      <c r="P826">
        <v>0</v>
      </c>
      <c r="Q826">
        <v>0</v>
      </c>
      <c r="S826" t="str">
        <f>"13:57:21.070"</f>
        <v>13:57:21.070</v>
      </c>
      <c r="T826" t="str">
        <f>"13:57:20.670"</f>
        <v>13:57:20.670</v>
      </c>
      <c r="U826" t="str">
        <f t="shared" si="40"/>
        <v>A92BC1</v>
      </c>
      <c r="V826">
        <v>0</v>
      </c>
      <c r="W826">
        <v>0</v>
      </c>
      <c r="X826">
        <v>2</v>
      </c>
      <c r="Z826">
        <v>0</v>
      </c>
      <c r="AA826">
        <v>9</v>
      </c>
      <c r="AB826">
        <v>3</v>
      </c>
      <c r="AC826">
        <v>0</v>
      </c>
      <c r="AD826">
        <v>10</v>
      </c>
      <c r="AE826">
        <v>0</v>
      </c>
      <c r="AF826">
        <v>3</v>
      </c>
      <c r="AG826">
        <v>2</v>
      </c>
      <c r="AH826">
        <v>0</v>
      </c>
      <c r="AI826" t="s">
        <v>926</v>
      </c>
      <c r="AJ826">
        <v>45.829746999999998</v>
      </c>
      <c r="AK826" t="s">
        <v>927</v>
      </c>
      <c r="AL826">
        <v>-89.204650000000001</v>
      </c>
      <c r="AM826">
        <v>100</v>
      </c>
      <c r="AN826">
        <v>14000</v>
      </c>
      <c r="AO826" t="s">
        <v>118</v>
      </c>
      <c r="AP826">
        <v>142</v>
      </c>
      <c r="AQ826">
        <v>120</v>
      </c>
      <c r="AR826">
        <v>1536</v>
      </c>
      <c r="AZ826">
        <v>1200</v>
      </c>
      <c r="BA826">
        <v>1</v>
      </c>
      <c r="BB826" t="str">
        <f t="shared" si="42"/>
        <v xml:space="preserve">N690LS  </v>
      </c>
      <c r="BC826">
        <v>1</v>
      </c>
      <c r="BE826">
        <v>0</v>
      </c>
      <c r="BF826">
        <v>0</v>
      </c>
      <c r="BG826">
        <v>0</v>
      </c>
      <c r="BH826">
        <v>14475</v>
      </c>
      <c r="BI826">
        <v>1</v>
      </c>
      <c r="BJ826">
        <v>1</v>
      </c>
      <c r="BK826">
        <v>1</v>
      </c>
      <c r="BL826">
        <v>0</v>
      </c>
      <c r="BO826">
        <v>0</v>
      </c>
      <c r="BP826">
        <v>0</v>
      </c>
      <c r="BW826" t="str">
        <f>"13:57:21.074"</f>
        <v>13:57:21.074</v>
      </c>
      <c r="CJ826">
        <v>0</v>
      </c>
      <c r="CK826">
        <v>2</v>
      </c>
      <c r="CL826">
        <v>0</v>
      </c>
      <c r="CM826">
        <v>2</v>
      </c>
      <c r="CN826">
        <v>0</v>
      </c>
      <c r="CO826">
        <v>6</v>
      </c>
      <c r="CP826" t="s">
        <v>119</v>
      </c>
      <c r="CQ826">
        <v>209</v>
      </c>
      <c r="CR826">
        <v>3</v>
      </c>
      <c r="CW826">
        <v>7237937</v>
      </c>
      <c r="CY826">
        <v>1</v>
      </c>
      <c r="CZ826">
        <v>0</v>
      </c>
      <c r="DA826">
        <v>1</v>
      </c>
      <c r="DB826">
        <v>0</v>
      </c>
      <c r="DC826">
        <v>0</v>
      </c>
      <c r="DD826">
        <v>1</v>
      </c>
      <c r="DE826">
        <v>0</v>
      </c>
      <c r="DF826">
        <v>0</v>
      </c>
      <c r="DG826">
        <v>0</v>
      </c>
      <c r="DH826">
        <v>0</v>
      </c>
      <c r="DI826">
        <v>0</v>
      </c>
    </row>
    <row r="827" spans="1:113" x14ac:dyDescent="0.3">
      <c r="A827" t="str">
        <f>"09/28/2021 13:57:22.120"</f>
        <v>09/28/2021 13:57:22.120</v>
      </c>
      <c r="C827" t="str">
        <f t="shared" si="41"/>
        <v>FFDFD3C0</v>
      </c>
      <c r="D827" t="s">
        <v>113</v>
      </c>
      <c r="E827">
        <v>7</v>
      </c>
      <c r="H827">
        <v>170</v>
      </c>
      <c r="I827" t="s">
        <v>114</v>
      </c>
      <c r="J827" t="s">
        <v>115</v>
      </c>
      <c r="K827">
        <v>0</v>
      </c>
      <c r="L827">
        <v>3</v>
      </c>
      <c r="M827">
        <v>0</v>
      </c>
      <c r="N827">
        <v>2</v>
      </c>
      <c r="O827">
        <v>1</v>
      </c>
      <c r="P827">
        <v>0</v>
      </c>
      <c r="Q827">
        <v>0</v>
      </c>
      <c r="S827" t="str">
        <f>"13:57:21.938"</f>
        <v>13:57:21.938</v>
      </c>
      <c r="T827" t="str">
        <f>"13:57:21.538"</f>
        <v>13:57:21.538</v>
      </c>
      <c r="U827" t="str">
        <f t="shared" si="40"/>
        <v>A92BC1</v>
      </c>
      <c r="V827">
        <v>0</v>
      </c>
      <c r="W827">
        <v>0</v>
      </c>
      <c r="X827">
        <v>2</v>
      </c>
      <c r="Z827">
        <v>0</v>
      </c>
      <c r="AA827">
        <v>9</v>
      </c>
      <c r="AB827">
        <v>3</v>
      </c>
      <c r="AC827">
        <v>0</v>
      </c>
      <c r="AD827">
        <v>10</v>
      </c>
      <c r="AE827">
        <v>0</v>
      </c>
      <c r="AF827">
        <v>3</v>
      </c>
      <c r="AG827">
        <v>2</v>
      </c>
      <c r="AH827">
        <v>0</v>
      </c>
      <c r="AI827" t="s">
        <v>928</v>
      </c>
      <c r="AJ827">
        <v>45.830240000000003</v>
      </c>
      <c r="AK827" t="s">
        <v>929</v>
      </c>
      <c r="AL827">
        <v>-89.203834999999998</v>
      </c>
      <c r="AM827">
        <v>100</v>
      </c>
      <c r="AN827">
        <v>14000</v>
      </c>
      <c r="AO827" t="s">
        <v>118</v>
      </c>
      <c r="AP827">
        <v>142</v>
      </c>
      <c r="AQ827">
        <v>120</v>
      </c>
      <c r="AR827">
        <v>1536</v>
      </c>
      <c r="AZ827">
        <v>1200</v>
      </c>
      <c r="BA827">
        <v>1</v>
      </c>
      <c r="BB827" t="str">
        <f t="shared" si="42"/>
        <v xml:space="preserve">N690LS  </v>
      </c>
      <c r="BC827">
        <v>1</v>
      </c>
      <c r="BE827">
        <v>0</v>
      </c>
      <c r="BF827">
        <v>0</v>
      </c>
      <c r="BG827">
        <v>0</v>
      </c>
      <c r="BH827">
        <v>14475</v>
      </c>
      <c r="BI827">
        <v>1</v>
      </c>
      <c r="BJ827">
        <v>1</v>
      </c>
      <c r="BK827">
        <v>1</v>
      </c>
      <c r="BL827">
        <v>0</v>
      </c>
      <c r="BO827">
        <v>0</v>
      </c>
      <c r="BP827">
        <v>0</v>
      </c>
      <c r="BW827" t="str">
        <f>"13:57:21.938"</f>
        <v>13:57:21.938</v>
      </c>
      <c r="CJ827">
        <v>0</v>
      </c>
      <c r="CK827">
        <v>2</v>
      </c>
      <c r="CL827">
        <v>0</v>
      </c>
      <c r="CM827">
        <v>2</v>
      </c>
      <c r="CN827">
        <v>0</v>
      </c>
      <c r="CO827">
        <v>7</v>
      </c>
      <c r="CP827" t="s">
        <v>119</v>
      </c>
      <c r="CQ827">
        <v>197</v>
      </c>
      <c r="CR827">
        <v>0</v>
      </c>
      <c r="CW827">
        <v>16057461</v>
      </c>
      <c r="CY827">
        <v>1</v>
      </c>
      <c r="CZ827">
        <v>0</v>
      </c>
      <c r="DA827">
        <v>0</v>
      </c>
      <c r="DB827">
        <v>0</v>
      </c>
      <c r="DC827">
        <v>0</v>
      </c>
      <c r="DD827">
        <v>1</v>
      </c>
      <c r="DE827">
        <v>0</v>
      </c>
      <c r="DF827">
        <v>0</v>
      </c>
      <c r="DG827">
        <v>0</v>
      </c>
      <c r="DH827">
        <v>0</v>
      </c>
      <c r="DI827">
        <v>0</v>
      </c>
    </row>
    <row r="828" spans="1:113" x14ac:dyDescent="0.3">
      <c r="A828" t="str">
        <f>"09/28/2021 13:57:22.120"</f>
        <v>09/28/2021 13:57:22.120</v>
      </c>
      <c r="C828" t="str">
        <f t="shared" si="41"/>
        <v>FFDFD3C0</v>
      </c>
      <c r="D828" t="s">
        <v>120</v>
      </c>
      <c r="E828">
        <v>12</v>
      </c>
      <c r="F828">
        <v>1012</v>
      </c>
      <c r="G828" t="s">
        <v>114</v>
      </c>
      <c r="J828" t="s">
        <v>121</v>
      </c>
      <c r="K828">
        <v>0</v>
      </c>
      <c r="L828">
        <v>3</v>
      </c>
      <c r="M828">
        <v>0</v>
      </c>
      <c r="N828">
        <v>2</v>
      </c>
      <c r="O828">
        <v>1</v>
      </c>
      <c r="P828">
        <v>0</v>
      </c>
      <c r="Q828">
        <v>0</v>
      </c>
      <c r="S828" t="str">
        <f>"13:57:21.938"</f>
        <v>13:57:21.938</v>
      </c>
      <c r="T828" t="str">
        <f>"13:57:21.538"</f>
        <v>13:57:21.538</v>
      </c>
      <c r="U828" t="str">
        <f t="shared" si="40"/>
        <v>A92BC1</v>
      </c>
      <c r="V828">
        <v>0</v>
      </c>
      <c r="W828">
        <v>0</v>
      </c>
      <c r="X828">
        <v>2</v>
      </c>
      <c r="Z828">
        <v>0</v>
      </c>
      <c r="AA828">
        <v>9</v>
      </c>
      <c r="AB828">
        <v>3</v>
      </c>
      <c r="AC828">
        <v>0</v>
      </c>
      <c r="AD828">
        <v>10</v>
      </c>
      <c r="AE828">
        <v>0</v>
      </c>
      <c r="AF828">
        <v>3</v>
      </c>
      <c r="AG828">
        <v>2</v>
      </c>
      <c r="AH828">
        <v>0</v>
      </c>
      <c r="AI828" t="s">
        <v>928</v>
      </c>
      <c r="AJ828">
        <v>45.830240000000003</v>
      </c>
      <c r="AK828" t="s">
        <v>929</v>
      </c>
      <c r="AL828">
        <v>-89.203834999999998</v>
      </c>
      <c r="AM828">
        <v>100</v>
      </c>
      <c r="AN828">
        <v>14000</v>
      </c>
      <c r="AO828" t="s">
        <v>118</v>
      </c>
      <c r="AP828">
        <v>142</v>
      </c>
      <c r="AQ828">
        <v>120</v>
      </c>
      <c r="AR828">
        <v>1536</v>
      </c>
      <c r="AZ828">
        <v>1200</v>
      </c>
      <c r="BA828">
        <v>1</v>
      </c>
      <c r="BB828" t="str">
        <f t="shared" si="42"/>
        <v xml:space="preserve">N690LS  </v>
      </c>
      <c r="BC828">
        <v>1</v>
      </c>
      <c r="BE828">
        <v>0</v>
      </c>
      <c r="BF828">
        <v>0</v>
      </c>
      <c r="BG828">
        <v>0</v>
      </c>
      <c r="BH828">
        <v>14475</v>
      </c>
      <c r="BI828">
        <v>1</v>
      </c>
      <c r="BJ828">
        <v>1</v>
      </c>
      <c r="BK828">
        <v>1</v>
      </c>
      <c r="BL828">
        <v>0</v>
      </c>
      <c r="BO828">
        <v>0</v>
      </c>
      <c r="BP828">
        <v>0</v>
      </c>
      <c r="BW828" t="str">
        <f>"13:57:21.938"</f>
        <v>13:57:21.938</v>
      </c>
      <c r="CJ828">
        <v>0</v>
      </c>
      <c r="CK828">
        <v>2</v>
      </c>
      <c r="CL828">
        <v>0</v>
      </c>
      <c r="CM828">
        <v>2</v>
      </c>
      <c r="CN828">
        <v>0</v>
      </c>
      <c r="CO828">
        <v>7</v>
      </c>
      <c r="CP828" t="s">
        <v>119</v>
      </c>
      <c r="CQ828">
        <v>197</v>
      </c>
      <c r="CR828">
        <v>0</v>
      </c>
      <c r="CW828">
        <v>16057461</v>
      </c>
      <c r="CY828">
        <v>1</v>
      </c>
      <c r="CZ828">
        <v>0</v>
      </c>
      <c r="DA828">
        <v>1</v>
      </c>
      <c r="DB828">
        <v>0</v>
      </c>
      <c r="DC828">
        <v>0</v>
      </c>
      <c r="DD828">
        <v>1</v>
      </c>
      <c r="DE828">
        <v>0</v>
      </c>
      <c r="DF828">
        <v>0</v>
      </c>
      <c r="DG828">
        <v>0</v>
      </c>
      <c r="DH828">
        <v>0</v>
      </c>
      <c r="DI828">
        <v>0</v>
      </c>
    </row>
    <row r="829" spans="1:113" x14ac:dyDescent="0.3">
      <c r="A829" t="str">
        <f>"09/28/2021 13:57:23.058"</f>
        <v>09/28/2021 13:57:23.058</v>
      </c>
      <c r="C829" t="str">
        <f t="shared" si="41"/>
        <v>FFDFD3C0</v>
      </c>
      <c r="D829" t="s">
        <v>120</v>
      </c>
      <c r="E829">
        <v>12</v>
      </c>
      <c r="F829">
        <v>1012</v>
      </c>
      <c r="G829" t="s">
        <v>114</v>
      </c>
      <c r="J829" t="s">
        <v>121</v>
      </c>
      <c r="K829">
        <v>0</v>
      </c>
      <c r="L829">
        <v>3</v>
      </c>
      <c r="M829">
        <v>0</v>
      </c>
      <c r="N829">
        <v>2</v>
      </c>
      <c r="O829">
        <v>1</v>
      </c>
      <c r="P829">
        <v>0</v>
      </c>
      <c r="Q829">
        <v>0</v>
      </c>
      <c r="S829" t="str">
        <f>"13:57:22.820"</f>
        <v>13:57:22.820</v>
      </c>
      <c r="T829" t="str">
        <f>"13:57:22.420"</f>
        <v>13:57:22.420</v>
      </c>
      <c r="U829" t="str">
        <f t="shared" si="40"/>
        <v>A92BC1</v>
      </c>
      <c r="V829">
        <v>0</v>
      </c>
      <c r="W829">
        <v>0</v>
      </c>
      <c r="X829">
        <v>2</v>
      </c>
      <c r="Z829">
        <v>0</v>
      </c>
      <c r="AA829">
        <v>9</v>
      </c>
      <c r="AB829">
        <v>3</v>
      </c>
      <c r="AC829">
        <v>0</v>
      </c>
      <c r="AD829">
        <v>10</v>
      </c>
      <c r="AE829">
        <v>0</v>
      </c>
      <c r="AF829">
        <v>3</v>
      </c>
      <c r="AG829">
        <v>2</v>
      </c>
      <c r="AH829">
        <v>0</v>
      </c>
      <c r="AI829" t="s">
        <v>930</v>
      </c>
      <c r="AJ829">
        <v>45.830776999999998</v>
      </c>
      <c r="AK829" t="s">
        <v>931</v>
      </c>
      <c r="AL829">
        <v>-89.203018999999998</v>
      </c>
      <c r="AM829">
        <v>100</v>
      </c>
      <c r="AN829">
        <v>14000</v>
      </c>
      <c r="AO829" t="s">
        <v>118</v>
      </c>
      <c r="AP829">
        <v>142</v>
      </c>
      <c r="AQ829">
        <v>120</v>
      </c>
      <c r="AR829">
        <v>1536</v>
      </c>
      <c r="AZ829">
        <v>1200</v>
      </c>
      <c r="BA829">
        <v>1</v>
      </c>
      <c r="BB829" t="str">
        <f t="shared" si="42"/>
        <v xml:space="preserve">N690LS  </v>
      </c>
      <c r="BC829">
        <v>1</v>
      </c>
      <c r="BE829">
        <v>0</v>
      </c>
      <c r="BF829">
        <v>0</v>
      </c>
      <c r="BG829">
        <v>0</v>
      </c>
      <c r="BH829">
        <v>14500</v>
      </c>
      <c r="BI829">
        <v>1</v>
      </c>
      <c r="BJ829">
        <v>1</v>
      </c>
      <c r="BK829">
        <v>1</v>
      </c>
      <c r="BL829">
        <v>0</v>
      </c>
      <c r="BO829">
        <v>0</v>
      </c>
      <c r="BP829">
        <v>0</v>
      </c>
      <c r="BW829" t="str">
        <f>"13:57:22.826"</f>
        <v>13:57:22.826</v>
      </c>
      <c r="CJ829">
        <v>0</v>
      </c>
      <c r="CK829">
        <v>2</v>
      </c>
      <c r="CL829">
        <v>0</v>
      </c>
      <c r="CM829">
        <v>2</v>
      </c>
      <c r="CN829">
        <v>0</v>
      </c>
      <c r="CO829">
        <v>6</v>
      </c>
      <c r="CP829" t="s">
        <v>119</v>
      </c>
      <c r="CQ829">
        <v>209</v>
      </c>
      <c r="CR829">
        <v>3</v>
      </c>
      <c r="CW829">
        <v>7238529</v>
      </c>
      <c r="CY829">
        <v>1</v>
      </c>
      <c r="CZ829">
        <v>0</v>
      </c>
      <c r="DA829">
        <v>0</v>
      </c>
      <c r="DB829">
        <v>0</v>
      </c>
      <c r="DC829">
        <v>0</v>
      </c>
      <c r="DD829">
        <v>1</v>
      </c>
      <c r="DE829">
        <v>0</v>
      </c>
      <c r="DF829">
        <v>0</v>
      </c>
      <c r="DG829">
        <v>0</v>
      </c>
      <c r="DH829">
        <v>0</v>
      </c>
      <c r="DI829">
        <v>0</v>
      </c>
    </row>
    <row r="830" spans="1:113" x14ac:dyDescent="0.3">
      <c r="A830" t="str">
        <f>"09/28/2021 13:57:23.058"</f>
        <v>09/28/2021 13:57:23.058</v>
      </c>
      <c r="C830" t="str">
        <f t="shared" si="41"/>
        <v>FFDFD3C0</v>
      </c>
      <c r="D830" t="s">
        <v>113</v>
      </c>
      <c r="E830">
        <v>7</v>
      </c>
      <c r="H830">
        <v>170</v>
      </c>
      <c r="I830" t="s">
        <v>114</v>
      </c>
      <c r="J830" t="s">
        <v>115</v>
      </c>
      <c r="K830">
        <v>0</v>
      </c>
      <c r="L830">
        <v>3</v>
      </c>
      <c r="M830">
        <v>0</v>
      </c>
      <c r="N830">
        <v>2</v>
      </c>
      <c r="O830">
        <v>1</v>
      </c>
      <c r="P830">
        <v>0</v>
      </c>
      <c r="Q830">
        <v>0</v>
      </c>
      <c r="S830" t="str">
        <f>"13:57:22.820"</f>
        <v>13:57:22.820</v>
      </c>
      <c r="T830" t="str">
        <f>"13:57:22.420"</f>
        <v>13:57:22.420</v>
      </c>
      <c r="U830" t="str">
        <f t="shared" si="40"/>
        <v>A92BC1</v>
      </c>
      <c r="V830">
        <v>0</v>
      </c>
      <c r="W830">
        <v>0</v>
      </c>
      <c r="X830">
        <v>2</v>
      </c>
      <c r="Z830">
        <v>0</v>
      </c>
      <c r="AA830">
        <v>9</v>
      </c>
      <c r="AB830">
        <v>3</v>
      </c>
      <c r="AC830">
        <v>0</v>
      </c>
      <c r="AD830">
        <v>10</v>
      </c>
      <c r="AE830">
        <v>0</v>
      </c>
      <c r="AF830">
        <v>3</v>
      </c>
      <c r="AG830">
        <v>2</v>
      </c>
      <c r="AH830">
        <v>0</v>
      </c>
      <c r="AI830" t="s">
        <v>930</v>
      </c>
      <c r="AJ830">
        <v>45.830776999999998</v>
      </c>
      <c r="AK830" t="s">
        <v>931</v>
      </c>
      <c r="AL830">
        <v>-89.203018999999998</v>
      </c>
      <c r="AM830">
        <v>100</v>
      </c>
      <c r="AN830">
        <v>14000</v>
      </c>
      <c r="AO830" t="s">
        <v>118</v>
      </c>
      <c r="AP830">
        <v>142</v>
      </c>
      <c r="AQ830">
        <v>120</v>
      </c>
      <c r="AR830">
        <v>1536</v>
      </c>
      <c r="AZ830">
        <v>1200</v>
      </c>
      <c r="BA830">
        <v>1</v>
      </c>
      <c r="BB830" t="str">
        <f t="shared" si="42"/>
        <v xml:space="preserve">N690LS  </v>
      </c>
      <c r="BC830">
        <v>1</v>
      </c>
      <c r="BE830">
        <v>0</v>
      </c>
      <c r="BF830">
        <v>0</v>
      </c>
      <c r="BG830">
        <v>0</v>
      </c>
      <c r="BH830">
        <v>14500</v>
      </c>
      <c r="BI830">
        <v>1</v>
      </c>
      <c r="BJ830">
        <v>1</v>
      </c>
      <c r="BK830">
        <v>1</v>
      </c>
      <c r="BL830">
        <v>0</v>
      </c>
      <c r="BO830">
        <v>0</v>
      </c>
      <c r="BP830">
        <v>0</v>
      </c>
      <c r="BW830" t="str">
        <f>"13:57:22.826"</f>
        <v>13:57:22.826</v>
      </c>
      <c r="CJ830">
        <v>0</v>
      </c>
      <c r="CK830">
        <v>2</v>
      </c>
      <c r="CL830">
        <v>0</v>
      </c>
      <c r="CM830">
        <v>2</v>
      </c>
      <c r="CN830">
        <v>0</v>
      </c>
      <c r="CO830">
        <v>6</v>
      </c>
      <c r="CP830" t="s">
        <v>119</v>
      </c>
      <c r="CQ830">
        <v>209</v>
      </c>
      <c r="CR830">
        <v>3</v>
      </c>
      <c r="CW830">
        <v>7238529</v>
      </c>
      <c r="CY830">
        <v>1</v>
      </c>
      <c r="CZ830">
        <v>0</v>
      </c>
      <c r="DA830">
        <v>1</v>
      </c>
      <c r="DB830">
        <v>0</v>
      </c>
      <c r="DC830">
        <v>0</v>
      </c>
      <c r="DD830">
        <v>1</v>
      </c>
      <c r="DE830">
        <v>0</v>
      </c>
      <c r="DF830">
        <v>0</v>
      </c>
      <c r="DG830">
        <v>0</v>
      </c>
      <c r="DH830">
        <v>0</v>
      </c>
      <c r="DI830">
        <v>0</v>
      </c>
    </row>
    <row r="831" spans="1:113" x14ac:dyDescent="0.3">
      <c r="A831" t="str">
        <f>"09/28/2021 13:57:23.995"</f>
        <v>09/28/2021 13:57:23.995</v>
      </c>
      <c r="C831" t="str">
        <f t="shared" si="41"/>
        <v>FFDFD3C0</v>
      </c>
      <c r="D831" t="s">
        <v>113</v>
      </c>
      <c r="E831">
        <v>7</v>
      </c>
      <c r="H831">
        <v>170</v>
      </c>
      <c r="I831" t="s">
        <v>114</v>
      </c>
      <c r="J831" t="s">
        <v>115</v>
      </c>
      <c r="K831">
        <v>0</v>
      </c>
      <c r="L831">
        <v>3</v>
      </c>
      <c r="M831">
        <v>0</v>
      </c>
      <c r="N831">
        <v>2</v>
      </c>
      <c r="O831">
        <v>1</v>
      </c>
      <c r="P831">
        <v>0</v>
      </c>
      <c r="Q831">
        <v>0</v>
      </c>
      <c r="S831" t="str">
        <f>"13:57:23.820"</f>
        <v>13:57:23.820</v>
      </c>
      <c r="T831" t="str">
        <f>"13:57:23.420"</f>
        <v>13:57:23.420</v>
      </c>
      <c r="U831" t="str">
        <f t="shared" si="40"/>
        <v>A92BC1</v>
      </c>
      <c r="V831">
        <v>0</v>
      </c>
      <c r="W831">
        <v>0</v>
      </c>
      <c r="X831">
        <v>2</v>
      </c>
      <c r="Z831">
        <v>0</v>
      </c>
      <c r="AA831">
        <v>9</v>
      </c>
      <c r="AB831">
        <v>3</v>
      </c>
      <c r="AC831">
        <v>0</v>
      </c>
      <c r="AD831">
        <v>10</v>
      </c>
      <c r="AE831">
        <v>0</v>
      </c>
      <c r="AF831">
        <v>3</v>
      </c>
      <c r="AG831">
        <v>2</v>
      </c>
      <c r="AH831">
        <v>0</v>
      </c>
      <c r="AI831" t="s">
        <v>932</v>
      </c>
      <c r="AJ831">
        <v>45.831249</v>
      </c>
      <c r="AK831" t="s">
        <v>933</v>
      </c>
      <c r="AL831">
        <v>-89.202161000000004</v>
      </c>
      <c r="AM831">
        <v>100</v>
      </c>
      <c r="AN831">
        <v>14100</v>
      </c>
      <c r="AO831" t="s">
        <v>118</v>
      </c>
      <c r="AP831">
        <v>142</v>
      </c>
      <c r="AQ831">
        <v>120</v>
      </c>
      <c r="AR831">
        <v>1536</v>
      </c>
      <c r="AZ831">
        <v>1200</v>
      </c>
      <c r="BA831">
        <v>1</v>
      </c>
      <c r="BB831" t="str">
        <f t="shared" si="42"/>
        <v xml:space="preserve">N690LS  </v>
      </c>
      <c r="BC831">
        <v>1</v>
      </c>
      <c r="BE831">
        <v>0</v>
      </c>
      <c r="BF831">
        <v>0</v>
      </c>
      <c r="BG831">
        <v>0</v>
      </c>
      <c r="BH831">
        <v>14525</v>
      </c>
      <c r="BI831">
        <v>1</v>
      </c>
      <c r="BJ831">
        <v>1</v>
      </c>
      <c r="BK831">
        <v>1</v>
      </c>
      <c r="BL831">
        <v>0</v>
      </c>
      <c r="BO831">
        <v>0</v>
      </c>
      <c r="BP831">
        <v>0</v>
      </c>
      <c r="BW831" t="str">
        <f>"13:57:23.820"</f>
        <v>13:57:23.820</v>
      </c>
      <c r="CJ831">
        <v>0</v>
      </c>
      <c r="CK831">
        <v>2</v>
      </c>
      <c r="CL831">
        <v>0</v>
      </c>
      <c r="CM831">
        <v>2</v>
      </c>
      <c r="CN831">
        <v>0</v>
      </c>
      <c r="CO831">
        <v>6</v>
      </c>
      <c r="CP831" t="s">
        <v>119</v>
      </c>
      <c r="CQ831">
        <v>209</v>
      </c>
      <c r="CR831">
        <v>3</v>
      </c>
      <c r="CW831">
        <v>7238846</v>
      </c>
      <c r="CY831">
        <v>1</v>
      </c>
      <c r="CZ831">
        <v>0</v>
      </c>
      <c r="DA831">
        <v>0</v>
      </c>
      <c r="DB831">
        <v>0</v>
      </c>
      <c r="DC831">
        <v>0</v>
      </c>
      <c r="DD831">
        <v>1</v>
      </c>
      <c r="DE831">
        <v>0</v>
      </c>
      <c r="DF831">
        <v>0</v>
      </c>
      <c r="DG831">
        <v>0</v>
      </c>
      <c r="DH831">
        <v>0</v>
      </c>
      <c r="DI831">
        <v>0</v>
      </c>
    </row>
    <row r="832" spans="1:113" x14ac:dyDescent="0.3">
      <c r="A832" t="str">
        <f>"09/28/2021 13:57:24.074"</f>
        <v>09/28/2021 13:57:24.074</v>
      </c>
      <c r="C832" t="str">
        <f t="shared" si="41"/>
        <v>FFDFD3C0</v>
      </c>
      <c r="D832" t="s">
        <v>120</v>
      </c>
      <c r="E832">
        <v>12</v>
      </c>
      <c r="F832">
        <v>1012</v>
      </c>
      <c r="G832" t="s">
        <v>114</v>
      </c>
      <c r="J832" t="s">
        <v>121</v>
      </c>
      <c r="K832">
        <v>0</v>
      </c>
      <c r="L832">
        <v>3</v>
      </c>
      <c r="M832">
        <v>0</v>
      </c>
      <c r="N832">
        <v>2</v>
      </c>
      <c r="O832">
        <v>1</v>
      </c>
      <c r="P832">
        <v>0</v>
      </c>
      <c r="Q832">
        <v>0</v>
      </c>
      <c r="S832" t="str">
        <f>"13:57:23.820"</f>
        <v>13:57:23.820</v>
      </c>
      <c r="T832" t="str">
        <f>"13:57:23.420"</f>
        <v>13:57:23.420</v>
      </c>
      <c r="U832" t="str">
        <f t="shared" si="40"/>
        <v>A92BC1</v>
      </c>
      <c r="V832">
        <v>0</v>
      </c>
      <c r="W832">
        <v>0</v>
      </c>
      <c r="X832">
        <v>2</v>
      </c>
      <c r="Z832">
        <v>0</v>
      </c>
      <c r="AA832">
        <v>9</v>
      </c>
      <c r="AB832">
        <v>3</v>
      </c>
      <c r="AC832">
        <v>0</v>
      </c>
      <c r="AD832">
        <v>10</v>
      </c>
      <c r="AE832">
        <v>0</v>
      </c>
      <c r="AF832">
        <v>3</v>
      </c>
      <c r="AG832">
        <v>2</v>
      </c>
      <c r="AH832">
        <v>0</v>
      </c>
      <c r="AI832" t="s">
        <v>932</v>
      </c>
      <c r="AJ832">
        <v>45.831249</v>
      </c>
      <c r="AK832" t="s">
        <v>933</v>
      </c>
      <c r="AL832">
        <v>-89.202161000000004</v>
      </c>
      <c r="AM832">
        <v>100</v>
      </c>
      <c r="AN832">
        <v>14100</v>
      </c>
      <c r="AO832" t="s">
        <v>118</v>
      </c>
      <c r="AP832">
        <v>142</v>
      </c>
      <c r="AQ832">
        <v>120</v>
      </c>
      <c r="AR832">
        <v>1536</v>
      </c>
      <c r="AZ832">
        <v>1200</v>
      </c>
      <c r="BA832">
        <v>1</v>
      </c>
      <c r="BB832" t="str">
        <f t="shared" si="42"/>
        <v xml:space="preserve">N690LS  </v>
      </c>
      <c r="BC832">
        <v>1</v>
      </c>
      <c r="BE832">
        <v>0</v>
      </c>
      <c r="BF832">
        <v>0</v>
      </c>
      <c r="BG832">
        <v>0</v>
      </c>
      <c r="BH832">
        <v>14525</v>
      </c>
      <c r="BI832">
        <v>1</v>
      </c>
      <c r="BJ832">
        <v>1</v>
      </c>
      <c r="BK832">
        <v>1</v>
      </c>
      <c r="BL832">
        <v>0</v>
      </c>
      <c r="BO832">
        <v>0</v>
      </c>
      <c r="BP832">
        <v>0</v>
      </c>
      <c r="BW832" t="str">
        <f>"13:57:23.820"</f>
        <v>13:57:23.820</v>
      </c>
      <c r="CJ832">
        <v>0</v>
      </c>
      <c r="CK832">
        <v>2</v>
      </c>
      <c r="CL832">
        <v>0</v>
      </c>
      <c r="CM832">
        <v>2</v>
      </c>
      <c r="CN832">
        <v>0</v>
      </c>
      <c r="CO832">
        <v>6</v>
      </c>
      <c r="CP832" t="s">
        <v>119</v>
      </c>
      <c r="CQ832">
        <v>209</v>
      </c>
      <c r="CR832">
        <v>3</v>
      </c>
      <c r="CW832">
        <v>7238846</v>
      </c>
      <c r="CY832">
        <v>1</v>
      </c>
      <c r="CZ832">
        <v>0</v>
      </c>
      <c r="DA832">
        <v>1</v>
      </c>
      <c r="DB832">
        <v>0</v>
      </c>
      <c r="DC832">
        <v>0</v>
      </c>
      <c r="DD832">
        <v>1</v>
      </c>
      <c r="DE832">
        <v>0</v>
      </c>
      <c r="DF832">
        <v>0</v>
      </c>
      <c r="DG832">
        <v>0</v>
      </c>
      <c r="DH832">
        <v>0</v>
      </c>
      <c r="DI832">
        <v>0</v>
      </c>
    </row>
    <row r="833" spans="1:113" x14ac:dyDescent="0.3">
      <c r="A833" t="str">
        <f>"09/28/2021 13:57:25.090"</f>
        <v>09/28/2021 13:57:25.090</v>
      </c>
      <c r="C833" t="str">
        <f t="shared" si="41"/>
        <v>FFDFD3C0</v>
      </c>
      <c r="D833" t="s">
        <v>120</v>
      </c>
      <c r="E833">
        <v>12</v>
      </c>
      <c r="F833">
        <v>1012</v>
      </c>
      <c r="G833" t="s">
        <v>114</v>
      </c>
      <c r="J833" t="s">
        <v>121</v>
      </c>
      <c r="K833">
        <v>0</v>
      </c>
      <c r="L833">
        <v>3</v>
      </c>
      <c r="M833">
        <v>0</v>
      </c>
      <c r="N833">
        <v>2</v>
      </c>
      <c r="O833">
        <v>1</v>
      </c>
      <c r="P833">
        <v>0</v>
      </c>
      <c r="Q833">
        <v>0</v>
      </c>
      <c r="S833" t="str">
        <f>"13:57:24.844"</f>
        <v>13:57:24.844</v>
      </c>
      <c r="T833" t="str">
        <f>"13:57:24.444"</f>
        <v>13:57:24.444</v>
      </c>
      <c r="U833" t="str">
        <f t="shared" si="40"/>
        <v>A92BC1</v>
      </c>
      <c r="V833">
        <v>0</v>
      </c>
      <c r="W833">
        <v>0</v>
      </c>
      <c r="X833">
        <v>2</v>
      </c>
      <c r="Z833">
        <v>0</v>
      </c>
      <c r="AA833">
        <v>9</v>
      </c>
      <c r="AB833">
        <v>3</v>
      </c>
      <c r="AC833">
        <v>0</v>
      </c>
      <c r="AD833">
        <v>10</v>
      </c>
      <c r="AE833">
        <v>0</v>
      </c>
      <c r="AF833">
        <v>3</v>
      </c>
      <c r="AG833">
        <v>2</v>
      </c>
      <c r="AH833">
        <v>0</v>
      </c>
      <c r="AI833" t="s">
        <v>934</v>
      </c>
      <c r="AJ833">
        <v>45.831850000000003</v>
      </c>
      <c r="AK833" t="s">
        <v>935</v>
      </c>
      <c r="AL833">
        <v>-89.201087999999999</v>
      </c>
      <c r="AM833">
        <v>100</v>
      </c>
      <c r="AN833">
        <v>14100</v>
      </c>
      <c r="AO833" t="s">
        <v>118</v>
      </c>
      <c r="AP833">
        <v>142</v>
      </c>
      <c r="AQ833">
        <v>120</v>
      </c>
      <c r="AR833">
        <v>1536</v>
      </c>
      <c r="AZ833">
        <v>1200</v>
      </c>
      <c r="BA833">
        <v>1</v>
      </c>
      <c r="BB833" t="str">
        <f t="shared" si="42"/>
        <v xml:space="preserve">N690LS  </v>
      </c>
      <c r="BC833">
        <v>1</v>
      </c>
      <c r="BE833">
        <v>0</v>
      </c>
      <c r="BF833">
        <v>0</v>
      </c>
      <c r="BG833">
        <v>0</v>
      </c>
      <c r="BH833">
        <v>14550</v>
      </c>
      <c r="BI833">
        <v>1</v>
      </c>
      <c r="BJ833">
        <v>1</v>
      </c>
      <c r="BK833">
        <v>1</v>
      </c>
      <c r="BL833">
        <v>0</v>
      </c>
      <c r="BO833">
        <v>0</v>
      </c>
      <c r="BP833">
        <v>0</v>
      </c>
      <c r="BW833" t="str">
        <f>"13:57:24.848"</f>
        <v>13:57:24.848</v>
      </c>
      <c r="CJ833">
        <v>0</v>
      </c>
      <c r="CK833">
        <v>2</v>
      </c>
      <c r="CL833">
        <v>0</v>
      </c>
      <c r="CM833">
        <v>2</v>
      </c>
      <c r="CN833">
        <v>0</v>
      </c>
      <c r="CO833">
        <v>6</v>
      </c>
      <c r="CP833" t="s">
        <v>119</v>
      </c>
      <c r="CQ833">
        <v>209</v>
      </c>
      <c r="CR833">
        <v>3</v>
      </c>
      <c r="CW833">
        <v>7239158</v>
      </c>
      <c r="CY833">
        <v>1</v>
      </c>
      <c r="CZ833">
        <v>0</v>
      </c>
      <c r="DA833">
        <v>0</v>
      </c>
      <c r="DB833">
        <v>0</v>
      </c>
      <c r="DC833">
        <v>0</v>
      </c>
      <c r="DD833">
        <v>1</v>
      </c>
      <c r="DE833">
        <v>0</v>
      </c>
      <c r="DF833">
        <v>0</v>
      </c>
      <c r="DG833">
        <v>0</v>
      </c>
      <c r="DH833">
        <v>0</v>
      </c>
      <c r="DI833">
        <v>0</v>
      </c>
    </row>
    <row r="834" spans="1:113" x14ac:dyDescent="0.3">
      <c r="A834" t="str">
        <f>"09/28/2021 13:57:25.106"</f>
        <v>09/28/2021 13:57:25.106</v>
      </c>
      <c r="C834" t="str">
        <f t="shared" si="41"/>
        <v>FFDFD3C0</v>
      </c>
      <c r="D834" t="s">
        <v>113</v>
      </c>
      <c r="E834">
        <v>7</v>
      </c>
      <c r="H834">
        <v>170</v>
      </c>
      <c r="I834" t="s">
        <v>114</v>
      </c>
      <c r="J834" t="s">
        <v>115</v>
      </c>
      <c r="K834">
        <v>0</v>
      </c>
      <c r="L834">
        <v>3</v>
      </c>
      <c r="M834">
        <v>0</v>
      </c>
      <c r="N834">
        <v>2</v>
      </c>
      <c r="O834">
        <v>1</v>
      </c>
      <c r="P834">
        <v>0</v>
      </c>
      <c r="Q834">
        <v>0</v>
      </c>
      <c r="S834" t="str">
        <f>"13:57:24.844"</f>
        <v>13:57:24.844</v>
      </c>
      <c r="T834" t="str">
        <f>"13:57:24.444"</f>
        <v>13:57:24.444</v>
      </c>
      <c r="U834" t="str">
        <f t="shared" ref="U834:U897" si="43">"A92BC1"</f>
        <v>A92BC1</v>
      </c>
      <c r="V834">
        <v>0</v>
      </c>
      <c r="W834">
        <v>0</v>
      </c>
      <c r="X834">
        <v>2</v>
      </c>
      <c r="Z834">
        <v>0</v>
      </c>
      <c r="AA834">
        <v>9</v>
      </c>
      <c r="AB834">
        <v>3</v>
      </c>
      <c r="AC834">
        <v>0</v>
      </c>
      <c r="AD834">
        <v>10</v>
      </c>
      <c r="AE834">
        <v>0</v>
      </c>
      <c r="AF834">
        <v>3</v>
      </c>
      <c r="AG834">
        <v>2</v>
      </c>
      <c r="AH834">
        <v>0</v>
      </c>
      <c r="AI834" t="s">
        <v>934</v>
      </c>
      <c r="AJ834">
        <v>45.831850000000003</v>
      </c>
      <c r="AK834" t="s">
        <v>935</v>
      </c>
      <c r="AL834">
        <v>-89.201087999999999</v>
      </c>
      <c r="AM834">
        <v>100</v>
      </c>
      <c r="AN834">
        <v>14100</v>
      </c>
      <c r="AO834" t="s">
        <v>118</v>
      </c>
      <c r="AP834">
        <v>142</v>
      </c>
      <c r="AQ834">
        <v>120</v>
      </c>
      <c r="AR834">
        <v>1536</v>
      </c>
      <c r="AZ834">
        <v>1200</v>
      </c>
      <c r="BA834">
        <v>1</v>
      </c>
      <c r="BB834" t="str">
        <f t="shared" si="42"/>
        <v xml:space="preserve">N690LS  </v>
      </c>
      <c r="BC834">
        <v>1</v>
      </c>
      <c r="BE834">
        <v>0</v>
      </c>
      <c r="BF834">
        <v>0</v>
      </c>
      <c r="BG834">
        <v>0</v>
      </c>
      <c r="BH834">
        <v>14550</v>
      </c>
      <c r="BI834">
        <v>1</v>
      </c>
      <c r="BJ834">
        <v>1</v>
      </c>
      <c r="BK834">
        <v>1</v>
      </c>
      <c r="BL834">
        <v>0</v>
      </c>
      <c r="BO834">
        <v>0</v>
      </c>
      <c r="BP834">
        <v>0</v>
      </c>
      <c r="BW834" t="str">
        <f>"13:57:24.848"</f>
        <v>13:57:24.848</v>
      </c>
      <c r="CJ834">
        <v>0</v>
      </c>
      <c r="CK834">
        <v>2</v>
      </c>
      <c r="CL834">
        <v>0</v>
      </c>
      <c r="CM834">
        <v>2</v>
      </c>
      <c r="CN834">
        <v>0</v>
      </c>
      <c r="CO834">
        <v>6</v>
      </c>
      <c r="CP834" t="s">
        <v>119</v>
      </c>
      <c r="CQ834">
        <v>209</v>
      </c>
      <c r="CR834">
        <v>3</v>
      </c>
      <c r="CW834">
        <v>7239158</v>
      </c>
      <c r="CY834">
        <v>1</v>
      </c>
      <c r="CZ834">
        <v>0</v>
      </c>
      <c r="DA834">
        <v>1</v>
      </c>
      <c r="DB834">
        <v>0</v>
      </c>
      <c r="DC834">
        <v>0</v>
      </c>
      <c r="DD834">
        <v>1</v>
      </c>
      <c r="DE834">
        <v>0</v>
      </c>
      <c r="DF834">
        <v>0</v>
      </c>
      <c r="DG834">
        <v>0</v>
      </c>
      <c r="DH834">
        <v>0</v>
      </c>
      <c r="DI834">
        <v>0</v>
      </c>
    </row>
    <row r="835" spans="1:113" x14ac:dyDescent="0.3">
      <c r="A835" t="str">
        <f>"09/28/2021 13:57:26.012"</f>
        <v>09/28/2021 13:57:26.012</v>
      </c>
      <c r="C835" t="str">
        <f t="shared" si="41"/>
        <v>FFDFD3C0</v>
      </c>
      <c r="D835" t="s">
        <v>113</v>
      </c>
      <c r="E835">
        <v>7</v>
      </c>
      <c r="H835">
        <v>170</v>
      </c>
      <c r="I835" t="s">
        <v>114</v>
      </c>
      <c r="J835" t="s">
        <v>115</v>
      </c>
      <c r="K835">
        <v>0</v>
      </c>
      <c r="L835">
        <v>3</v>
      </c>
      <c r="M835">
        <v>0</v>
      </c>
      <c r="N835">
        <v>2</v>
      </c>
      <c r="O835">
        <v>1</v>
      </c>
      <c r="P835">
        <v>0</v>
      </c>
      <c r="Q835">
        <v>0</v>
      </c>
      <c r="S835" t="str">
        <f>"13:57:25.789"</f>
        <v>13:57:25.789</v>
      </c>
      <c r="T835" t="str">
        <f>"13:57:25.389"</f>
        <v>13:57:25.389</v>
      </c>
      <c r="U835" t="str">
        <f t="shared" si="43"/>
        <v>A92BC1</v>
      </c>
      <c r="V835">
        <v>0</v>
      </c>
      <c r="W835">
        <v>0</v>
      </c>
      <c r="X835">
        <v>2</v>
      </c>
      <c r="Z835">
        <v>0</v>
      </c>
      <c r="AA835">
        <v>9</v>
      </c>
      <c r="AB835">
        <v>3</v>
      </c>
      <c r="AC835">
        <v>0</v>
      </c>
      <c r="AD835">
        <v>10</v>
      </c>
      <c r="AE835">
        <v>0</v>
      </c>
      <c r="AF835">
        <v>3</v>
      </c>
      <c r="AG835">
        <v>2</v>
      </c>
      <c r="AH835">
        <v>0</v>
      </c>
      <c r="AI835" t="s">
        <v>936</v>
      </c>
      <c r="AJ835">
        <v>45.832343000000002</v>
      </c>
      <c r="AK835" t="s">
        <v>937</v>
      </c>
      <c r="AL835">
        <v>-89.200272999999996</v>
      </c>
      <c r="AM835">
        <v>100</v>
      </c>
      <c r="AN835">
        <v>14100</v>
      </c>
      <c r="AO835" t="s">
        <v>118</v>
      </c>
      <c r="AP835">
        <v>142</v>
      </c>
      <c r="AQ835">
        <v>120</v>
      </c>
      <c r="AR835">
        <v>1536</v>
      </c>
      <c r="AZ835">
        <v>1200</v>
      </c>
      <c r="BA835">
        <v>1</v>
      </c>
      <c r="BB835" t="str">
        <f t="shared" si="42"/>
        <v xml:space="preserve">N690LS  </v>
      </c>
      <c r="BC835">
        <v>1</v>
      </c>
      <c r="BE835">
        <v>0</v>
      </c>
      <c r="BF835">
        <v>0</v>
      </c>
      <c r="BG835">
        <v>0</v>
      </c>
      <c r="BH835">
        <v>14575</v>
      </c>
      <c r="BI835">
        <v>1</v>
      </c>
      <c r="BJ835">
        <v>1</v>
      </c>
      <c r="BK835">
        <v>1</v>
      </c>
      <c r="BL835">
        <v>0</v>
      </c>
      <c r="BO835">
        <v>0</v>
      </c>
      <c r="BP835">
        <v>0</v>
      </c>
      <c r="BW835" t="str">
        <f>"13:57:25.796"</f>
        <v>13:57:25.796</v>
      </c>
      <c r="CJ835">
        <v>0</v>
      </c>
      <c r="CK835">
        <v>2</v>
      </c>
      <c r="CL835">
        <v>0</v>
      </c>
      <c r="CM835">
        <v>2</v>
      </c>
      <c r="CN835">
        <v>0</v>
      </c>
      <c r="CO835">
        <v>6</v>
      </c>
      <c r="CP835" t="s">
        <v>119</v>
      </c>
      <c r="CQ835">
        <v>209</v>
      </c>
      <c r="CR835">
        <v>3</v>
      </c>
      <c r="CW835">
        <v>7239443</v>
      </c>
      <c r="CY835">
        <v>1</v>
      </c>
      <c r="CZ835">
        <v>0</v>
      </c>
      <c r="DA835">
        <v>0</v>
      </c>
      <c r="DB835">
        <v>0</v>
      </c>
      <c r="DC835">
        <v>0</v>
      </c>
      <c r="DD835">
        <v>1</v>
      </c>
      <c r="DE835">
        <v>0</v>
      </c>
      <c r="DF835">
        <v>0</v>
      </c>
      <c r="DG835">
        <v>0</v>
      </c>
      <c r="DH835">
        <v>0</v>
      </c>
      <c r="DI835">
        <v>0</v>
      </c>
    </row>
    <row r="836" spans="1:113" x14ac:dyDescent="0.3">
      <c r="A836" t="str">
        <f>"09/28/2021 13:57:26.059"</f>
        <v>09/28/2021 13:57:26.059</v>
      </c>
      <c r="C836" t="str">
        <f t="shared" si="41"/>
        <v>FFDFD3C0</v>
      </c>
      <c r="D836" t="s">
        <v>120</v>
      </c>
      <c r="E836">
        <v>12</v>
      </c>
      <c r="F836">
        <v>1012</v>
      </c>
      <c r="G836" t="s">
        <v>114</v>
      </c>
      <c r="J836" t="s">
        <v>121</v>
      </c>
      <c r="K836">
        <v>0</v>
      </c>
      <c r="L836">
        <v>3</v>
      </c>
      <c r="M836">
        <v>0</v>
      </c>
      <c r="N836">
        <v>2</v>
      </c>
      <c r="O836">
        <v>1</v>
      </c>
      <c r="P836">
        <v>0</v>
      </c>
      <c r="Q836">
        <v>0</v>
      </c>
      <c r="S836" t="str">
        <f>"13:57:25.789"</f>
        <v>13:57:25.789</v>
      </c>
      <c r="T836" t="str">
        <f>"13:57:25.389"</f>
        <v>13:57:25.389</v>
      </c>
      <c r="U836" t="str">
        <f t="shared" si="43"/>
        <v>A92BC1</v>
      </c>
      <c r="V836">
        <v>0</v>
      </c>
      <c r="W836">
        <v>0</v>
      </c>
      <c r="X836">
        <v>2</v>
      </c>
      <c r="Z836">
        <v>0</v>
      </c>
      <c r="AA836">
        <v>9</v>
      </c>
      <c r="AB836">
        <v>3</v>
      </c>
      <c r="AC836">
        <v>0</v>
      </c>
      <c r="AD836">
        <v>10</v>
      </c>
      <c r="AE836">
        <v>0</v>
      </c>
      <c r="AF836">
        <v>3</v>
      </c>
      <c r="AG836">
        <v>2</v>
      </c>
      <c r="AH836">
        <v>0</v>
      </c>
      <c r="AI836" t="s">
        <v>936</v>
      </c>
      <c r="AJ836">
        <v>45.832343000000002</v>
      </c>
      <c r="AK836" t="s">
        <v>937</v>
      </c>
      <c r="AL836">
        <v>-89.200272999999996</v>
      </c>
      <c r="AM836">
        <v>100</v>
      </c>
      <c r="AN836">
        <v>14100</v>
      </c>
      <c r="AO836" t="s">
        <v>118</v>
      </c>
      <c r="AP836">
        <v>142</v>
      </c>
      <c r="AQ836">
        <v>120</v>
      </c>
      <c r="AR836">
        <v>1536</v>
      </c>
      <c r="AZ836">
        <v>1200</v>
      </c>
      <c r="BA836">
        <v>1</v>
      </c>
      <c r="BB836" t="str">
        <f t="shared" si="42"/>
        <v xml:space="preserve">N690LS  </v>
      </c>
      <c r="BC836">
        <v>1</v>
      </c>
      <c r="BE836">
        <v>0</v>
      </c>
      <c r="BF836">
        <v>0</v>
      </c>
      <c r="BG836">
        <v>0</v>
      </c>
      <c r="BH836">
        <v>14575</v>
      </c>
      <c r="BI836">
        <v>1</v>
      </c>
      <c r="BJ836">
        <v>1</v>
      </c>
      <c r="BK836">
        <v>1</v>
      </c>
      <c r="BL836">
        <v>0</v>
      </c>
      <c r="BO836">
        <v>0</v>
      </c>
      <c r="BP836">
        <v>0</v>
      </c>
      <c r="BW836" t="str">
        <f>"13:57:25.796"</f>
        <v>13:57:25.796</v>
      </c>
      <c r="CJ836">
        <v>0</v>
      </c>
      <c r="CK836">
        <v>2</v>
      </c>
      <c r="CL836">
        <v>0</v>
      </c>
      <c r="CM836">
        <v>2</v>
      </c>
      <c r="CN836">
        <v>0</v>
      </c>
      <c r="CO836">
        <v>6</v>
      </c>
      <c r="CP836" t="s">
        <v>119</v>
      </c>
      <c r="CQ836">
        <v>209</v>
      </c>
      <c r="CR836">
        <v>3</v>
      </c>
      <c r="CW836">
        <v>7239443</v>
      </c>
      <c r="CY836">
        <v>1</v>
      </c>
      <c r="CZ836">
        <v>0</v>
      </c>
      <c r="DA836">
        <v>1</v>
      </c>
      <c r="DB836">
        <v>0</v>
      </c>
      <c r="DC836">
        <v>0</v>
      </c>
      <c r="DD836">
        <v>1</v>
      </c>
      <c r="DE836">
        <v>0</v>
      </c>
      <c r="DF836">
        <v>0</v>
      </c>
      <c r="DG836">
        <v>0</v>
      </c>
      <c r="DH836">
        <v>0</v>
      </c>
      <c r="DI836">
        <v>0</v>
      </c>
    </row>
    <row r="837" spans="1:113" x14ac:dyDescent="0.3">
      <c r="A837" t="str">
        <f>"09/28/2021 13:57:26.901"</f>
        <v>09/28/2021 13:57:26.901</v>
      </c>
      <c r="C837" t="str">
        <f t="shared" si="41"/>
        <v>FFDFD3C0</v>
      </c>
      <c r="D837" t="s">
        <v>120</v>
      </c>
      <c r="E837">
        <v>12</v>
      </c>
      <c r="F837">
        <v>1012</v>
      </c>
      <c r="G837" t="s">
        <v>114</v>
      </c>
      <c r="J837" t="s">
        <v>121</v>
      </c>
      <c r="K837">
        <v>0</v>
      </c>
      <c r="L837">
        <v>3</v>
      </c>
      <c r="M837">
        <v>0</v>
      </c>
      <c r="N837">
        <v>2</v>
      </c>
      <c r="O837">
        <v>1</v>
      </c>
      <c r="P837">
        <v>0</v>
      </c>
      <c r="Q837">
        <v>0</v>
      </c>
      <c r="S837" t="str">
        <f>"13:57:26.711"</f>
        <v>13:57:26.711</v>
      </c>
      <c r="T837" t="str">
        <f>"13:57:26.311"</f>
        <v>13:57:26.311</v>
      </c>
      <c r="U837" t="str">
        <f t="shared" si="43"/>
        <v>A92BC1</v>
      </c>
      <c r="V837">
        <v>0</v>
      </c>
      <c r="W837">
        <v>0</v>
      </c>
      <c r="X837">
        <v>2</v>
      </c>
      <c r="Z837">
        <v>0</v>
      </c>
      <c r="AA837">
        <v>9</v>
      </c>
      <c r="AB837">
        <v>3</v>
      </c>
      <c r="AC837">
        <v>0</v>
      </c>
      <c r="AD837">
        <v>10</v>
      </c>
      <c r="AE837">
        <v>0</v>
      </c>
      <c r="AF837">
        <v>3</v>
      </c>
      <c r="AG837">
        <v>2</v>
      </c>
      <c r="AH837">
        <v>0</v>
      </c>
      <c r="AI837" t="s">
        <v>938</v>
      </c>
      <c r="AJ837">
        <v>45.832858000000002</v>
      </c>
      <c r="AK837" t="s">
        <v>939</v>
      </c>
      <c r="AL837">
        <v>-89.199436000000006</v>
      </c>
      <c r="AM837">
        <v>100</v>
      </c>
      <c r="AN837">
        <v>14100</v>
      </c>
      <c r="AO837" t="s">
        <v>118</v>
      </c>
      <c r="AP837">
        <v>142</v>
      </c>
      <c r="AQ837">
        <v>120</v>
      </c>
      <c r="AR837">
        <v>1536</v>
      </c>
      <c r="AZ837">
        <v>1200</v>
      </c>
      <c r="BA837">
        <v>1</v>
      </c>
      <c r="BB837" t="str">
        <f t="shared" si="42"/>
        <v xml:space="preserve">N690LS  </v>
      </c>
      <c r="BC837">
        <v>1</v>
      </c>
      <c r="BE837">
        <v>0</v>
      </c>
      <c r="BF837">
        <v>0</v>
      </c>
      <c r="BG837">
        <v>0</v>
      </c>
      <c r="BH837">
        <v>14600</v>
      </c>
      <c r="BI837">
        <v>1</v>
      </c>
      <c r="BJ837">
        <v>1</v>
      </c>
      <c r="BK837">
        <v>1</v>
      </c>
      <c r="BL837">
        <v>0</v>
      </c>
      <c r="BO837">
        <v>0</v>
      </c>
      <c r="BP837">
        <v>0</v>
      </c>
      <c r="BW837" t="str">
        <f>"13:57:26.716"</f>
        <v>13:57:26.716</v>
      </c>
      <c r="CJ837">
        <v>0</v>
      </c>
      <c r="CK837">
        <v>2</v>
      </c>
      <c r="CL837">
        <v>0</v>
      </c>
      <c r="CM837">
        <v>2</v>
      </c>
      <c r="CN837">
        <v>0</v>
      </c>
      <c r="CO837">
        <v>6</v>
      </c>
      <c r="CP837" t="s">
        <v>119</v>
      </c>
      <c r="CQ837">
        <v>209</v>
      </c>
      <c r="CR837">
        <v>3</v>
      </c>
      <c r="CW837">
        <v>7239703</v>
      </c>
      <c r="CY837">
        <v>1</v>
      </c>
      <c r="CZ837">
        <v>0</v>
      </c>
      <c r="DA837">
        <v>0</v>
      </c>
      <c r="DB837">
        <v>0</v>
      </c>
      <c r="DC837">
        <v>0</v>
      </c>
      <c r="DD837">
        <v>1</v>
      </c>
      <c r="DE837">
        <v>0</v>
      </c>
      <c r="DF837">
        <v>0</v>
      </c>
      <c r="DG837">
        <v>0</v>
      </c>
      <c r="DH837">
        <v>0</v>
      </c>
      <c r="DI837">
        <v>0</v>
      </c>
    </row>
    <row r="838" spans="1:113" x14ac:dyDescent="0.3">
      <c r="A838" t="str">
        <f>"09/28/2021 13:57:26.964"</f>
        <v>09/28/2021 13:57:26.964</v>
      </c>
      <c r="C838" t="str">
        <f t="shared" si="41"/>
        <v>FFDFD3C0</v>
      </c>
      <c r="D838" t="s">
        <v>113</v>
      </c>
      <c r="E838">
        <v>7</v>
      </c>
      <c r="H838">
        <v>170</v>
      </c>
      <c r="I838" t="s">
        <v>114</v>
      </c>
      <c r="J838" t="s">
        <v>115</v>
      </c>
      <c r="K838">
        <v>0</v>
      </c>
      <c r="L838">
        <v>3</v>
      </c>
      <c r="M838">
        <v>0</v>
      </c>
      <c r="N838">
        <v>2</v>
      </c>
      <c r="O838">
        <v>1</v>
      </c>
      <c r="P838">
        <v>0</v>
      </c>
      <c r="Q838">
        <v>0</v>
      </c>
      <c r="S838" t="str">
        <f>"13:57:26.711"</f>
        <v>13:57:26.711</v>
      </c>
      <c r="T838" t="str">
        <f>"13:57:26.311"</f>
        <v>13:57:26.311</v>
      </c>
      <c r="U838" t="str">
        <f t="shared" si="43"/>
        <v>A92BC1</v>
      </c>
      <c r="V838">
        <v>0</v>
      </c>
      <c r="W838">
        <v>0</v>
      </c>
      <c r="X838">
        <v>2</v>
      </c>
      <c r="Z838">
        <v>0</v>
      </c>
      <c r="AA838">
        <v>9</v>
      </c>
      <c r="AB838">
        <v>3</v>
      </c>
      <c r="AC838">
        <v>0</v>
      </c>
      <c r="AD838">
        <v>10</v>
      </c>
      <c r="AE838">
        <v>0</v>
      </c>
      <c r="AF838">
        <v>3</v>
      </c>
      <c r="AG838">
        <v>2</v>
      </c>
      <c r="AH838">
        <v>0</v>
      </c>
      <c r="AI838" t="s">
        <v>938</v>
      </c>
      <c r="AJ838">
        <v>45.832858000000002</v>
      </c>
      <c r="AK838" t="s">
        <v>939</v>
      </c>
      <c r="AL838">
        <v>-89.199436000000006</v>
      </c>
      <c r="AM838">
        <v>100</v>
      </c>
      <c r="AN838">
        <v>14100</v>
      </c>
      <c r="AO838" t="s">
        <v>118</v>
      </c>
      <c r="AP838">
        <v>142</v>
      </c>
      <c r="AQ838">
        <v>120</v>
      </c>
      <c r="AR838">
        <v>1536</v>
      </c>
      <c r="AZ838">
        <v>1200</v>
      </c>
      <c r="BA838">
        <v>1</v>
      </c>
      <c r="BB838" t="str">
        <f t="shared" si="42"/>
        <v xml:space="preserve">N690LS  </v>
      </c>
      <c r="BC838">
        <v>1</v>
      </c>
      <c r="BE838">
        <v>0</v>
      </c>
      <c r="BF838">
        <v>0</v>
      </c>
      <c r="BG838">
        <v>0</v>
      </c>
      <c r="BH838">
        <v>14600</v>
      </c>
      <c r="BI838">
        <v>1</v>
      </c>
      <c r="BJ838">
        <v>1</v>
      </c>
      <c r="BK838">
        <v>1</v>
      </c>
      <c r="BL838">
        <v>0</v>
      </c>
      <c r="BO838">
        <v>0</v>
      </c>
      <c r="BP838">
        <v>0</v>
      </c>
      <c r="BW838" t="str">
        <f>"13:57:26.716"</f>
        <v>13:57:26.716</v>
      </c>
      <c r="CJ838">
        <v>0</v>
      </c>
      <c r="CK838">
        <v>2</v>
      </c>
      <c r="CL838">
        <v>0</v>
      </c>
      <c r="CM838">
        <v>2</v>
      </c>
      <c r="CN838">
        <v>0</v>
      </c>
      <c r="CO838">
        <v>6</v>
      </c>
      <c r="CP838" t="s">
        <v>119</v>
      </c>
      <c r="CQ838">
        <v>209</v>
      </c>
      <c r="CR838">
        <v>3</v>
      </c>
      <c r="CW838">
        <v>7239703</v>
      </c>
      <c r="CY838">
        <v>1</v>
      </c>
      <c r="CZ838">
        <v>0</v>
      </c>
      <c r="DA838">
        <v>1</v>
      </c>
      <c r="DB838">
        <v>0</v>
      </c>
      <c r="DC838">
        <v>0</v>
      </c>
      <c r="DD838">
        <v>1</v>
      </c>
      <c r="DE838">
        <v>0</v>
      </c>
      <c r="DF838">
        <v>0</v>
      </c>
      <c r="DG838">
        <v>0</v>
      </c>
      <c r="DH838">
        <v>0</v>
      </c>
      <c r="DI838">
        <v>0</v>
      </c>
    </row>
    <row r="839" spans="1:113" x14ac:dyDescent="0.3">
      <c r="A839" t="str">
        <f>"09/28/2021 13:57:27.995"</f>
        <v>09/28/2021 13:57:27.995</v>
      </c>
      <c r="C839" t="str">
        <f t="shared" si="41"/>
        <v>FFDFD3C0</v>
      </c>
      <c r="D839" t="s">
        <v>120</v>
      </c>
      <c r="E839">
        <v>12</v>
      </c>
      <c r="F839">
        <v>1012</v>
      </c>
      <c r="G839" t="s">
        <v>114</v>
      </c>
      <c r="J839" t="s">
        <v>121</v>
      </c>
      <c r="K839">
        <v>0</v>
      </c>
      <c r="L839">
        <v>3</v>
      </c>
      <c r="M839">
        <v>0</v>
      </c>
      <c r="N839">
        <v>2</v>
      </c>
      <c r="O839">
        <v>1</v>
      </c>
      <c r="P839">
        <v>0</v>
      </c>
      <c r="Q839">
        <v>0</v>
      </c>
      <c r="S839" t="str">
        <f>"13:57:27.781"</f>
        <v>13:57:27.781</v>
      </c>
      <c r="T839" t="str">
        <f>"13:57:27.381"</f>
        <v>13:57:27.381</v>
      </c>
      <c r="U839" t="str">
        <f t="shared" si="43"/>
        <v>A92BC1</v>
      </c>
      <c r="V839">
        <v>0</v>
      </c>
      <c r="W839">
        <v>0</v>
      </c>
      <c r="X839">
        <v>2</v>
      </c>
      <c r="Z839">
        <v>0</v>
      </c>
      <c r="AA839">
        <v>9</v>
      </c>
      <c r="AB839">
        <v>3</v>
      </c>
      <c r="AC839">
        <v>0</v>
      </c>
      <c r="AD839">
        <v>10</v>
      </c>
      <c r="AE839">
        <v>0</v>
      </c>
      <c r="AF839">
        <v>3</v>
      </c>
      <c r="AG839">
        <v>2</v>
      </c>
      <c r="AH839">
        <v>0</v>
      </c>
      <c r="AI839" t="s">
        <v>940</v>
      </c>
      <c r="AJ839">
        <v>45.833458999999998</v>
      </c>
      <c r="AK839" t="s">
        <v>941</v>
      </c>
      <c r="AL839">
        <v>-89.198406000000006</v>
      </c>
      <c r="AM839">
        <v>100</v>
      </c>
      <c r="AN839">
        <v>14200</v>
      </c>
      <c r="AO839" t="s">
        <v>118</v>
      </c>
      <c r="AP839">
        <v>141</v>
      </c>
      <c r="AQ839">
        <v>120</v>
      </c>
      <c r="AR839">
        <v>1536</v>
      </c>
      <c r="AZ839">
        <v>1200</v>
      </c>
      <c r="BA839">
        <v>1</v>
      </c>
      <c r="BB839" t="str">
        <f t="shared" si="42"/>
        <v xml:space="preserve">N690LS  </v>
      </c>
      <c r="BC839">
        <v>1</v>
      </c>
      <c r="BE839">
        <v>0</v>
      </c>
      <c r="BF839">
        <v>0</v>
      </c>
      <c r="BG839">
        <v>0</v>
      </c>
      <c r="BH839">
        <v>14625</v>
      </c>
      <c r="BI839">
        <v>1</v>
      </c>
      <c r="BJ839">
        <v>1</v>
      </c>
      <c r="BK839">
        <v>1</v>
      </c>
      <c r="BL839">
        <v>0</v>
      </c>
      <c r="BO839">
        <v>0</v>
      </c>
      <c r="BP839">
        <v>0</v>
      </c>
      <c r="BW839" t="str">
        <f>"13:57:27.782"</f>
        <v>13:57:27.782</v>
      </c>
      <c r="CJ839">
        <v>0</v>
      </c>
      <c r="CK839">
        <v>2</v>
      </c>
      <c r="CL839">
        <v>0</v>
      </c>
      <c r="CM839">
        <v>2</v>
      </c>
      <c r="CN839">
        <v>0</v>
      </c>
      <c r="CO839">
        <v>6</v>
      </c>
      <c r="CP839" t="s">
        <v>119</v>
      </c>
      <c r="CQ839">
        <v>209</v>
      </c>
      <c r="CR839">
        <v>3</v>
      </c>
      <c r="CW839">
        <v>7240047</v>
      </c>
      <c r="CY839">
        <v>1</v>
      </c>
      <c r="CZ839">
        <v>0</v>
      </c>
      <c r="DA839">
        <v>0</v>
      </c>
      <c r="DB839">
        <v>0</v>
      </c>
      <c r="DC839">
        <v>0</v>
      </c>
      <c r="DD839">
        <v>1</v>
      </c>
      <c r="DE839">
        <v>0</v>
      </c>
      <c r="DF839">
        <v>0</v>
      </c>
      <c r="DG839">
        <v>0</v>
      </c>
      <c r="DH839">
        <v>0</v>
      </c>
      <c r="DI839">
        <v>0</v>
      </c>
    </row>
    <row r="840" spans="1:113" x14ac:dyDescent="0.3">
      <c r="A840" t="str">
        <f>"09/28/2021 13:57:27.995"</f>
        <v>09/28/2021 13:57:27.995</v>
      </c>
      <c r="C840" t="str">
        <f t="shared" si="41"/>
        <v>FFDFD3C0</v>
      </c>
      <c r="D840" t="s">
        <v>113</v>
      </c>
      <c r="E840">
        <v>7</v>
      </c>
      <c r="H840">
        <v>170</v>
      </c>
      <c r="I840" t="s">
        <v>114</v>
      </c>
      <c r="J840" t="s">
        <v>115</v>
      </c>
      <c r="K840">
        <v>0</v>
      </c>
      <c r="L840">
        <v>3</v>
      </c>
      <c r="M840">
        <v>0</v>
      </c>
      <c r="N840">
        <v>2</v>
      </c>
      <c r="O840">
        <v>1</v>
      </c>
      <c r="P840">
        <v>0</v>
      </c>
      <c r="Q840">
        <v>0</v>
      </c>
      <c r="S840" t="str">
        <f>"13:57:27.781"</f>
        <v>13:57:27.781</v>
      </c>
      <c r="T840" t="str">
        <f>"13:57:27.381"</f>
        <v>13:57:27.381</v>
      </c>
      <c r="U840" t="str">
        <f t="shared" si="43"/>
        <v>A92BC1</v>
      </c>
      <c r="V840">
        <v>0</v>
      </c>
      <c r="W840">
        <v>0</v>
      </c>
      <c r="X840">
        <v>2</v>
      </c>
      <c r="Z840">
        <v>0</v>
      </c>
      <c r="AA840">
        <v>9</v>
      </c>
      <c r="AB840">
        <v>3</v>
      </c>
      <c r="AC840">
        <v>0</v>
      </c>
      <c r="AD840">
        <v>10</v>
      </c>
      <c r="AE840">
        <v>0</v>
      </c>
      <c r="AF840">
        <v>3</v>
      </c>
      <c r="AG840">
        <v>2</v>
      </c>
      <c r="AH840">
        <v>0</v>
      </c>
      <c r="AI840" t="s">
        <v>940</v>
      </c>
      <c r="AJ840">
        <v>45.833458999999998</v>
      </c>
      <c r="AK840" t="s">
        <v>941</v>
      </c>
      <c r="AL840">
        <v>-89.198406000000006</v>
      </c>
      <c r="AM840">
        <v>100</v>
      </c>
      <c r="AN840">
        <v>14200</v>
      </c>
      <c r="AO840" t="s">
        <v>118</v>
      </c>
      <c r="AP840">
        <v>141</v>
      </c>
      <c r="AQ840">
        <v>120</v>
      </c>
      <c r="AR840">
        <v>1536</v>
      </c>
      <c r="AZ840">
        <v>1200</v>
      </c>
      <c r="BA840">
        <v>1</v>
      </c>
      <c r="BB840" t="str">
        <f t="shared" si="42"/>
        <v xml:space="preserve">N690LS  </v>
      </c>
      <c r="BC840">
        <v>1</v>
      </c>
      <c r="BE840">
        <v>0</v>
      </c>
      <c r="BF840">
        <v>0</v>
      </c>
      <c r="BG840">
        <v>0</v>
      </c>
      <c r="BH840">
        <v>14625</v>
      </c>
      <c r="BI840">
        <v>1</v>
      </c>
      <c r="BJ840">
        <v>1</v>
      </c>
      <c r="BK840">
        <v>1</v>
      </c>
      <c r="BL840">
        <v>0</v>
      </c>
      <c r="BO840">
        <v>0</v>
      </c>
      <c r="BP840">
        <v>0</v>
      </c>
      <c r="BW840" t="str">
        <f>"13:57:27.782"</f>
        <v>13:57:27.782</v>
      </c>
      <c r="CJ840">
        <v>0</v>
      </c>
      <c r="CK840">
        <v>2</v>
      </c>
      <c r="CL840">
        <v>0</v>
      </c>
      <c r="CM840">
        <v>2</v>
      </c>
      <c r="CN840">
        <v>0</v>
      </c>
      <c r="CO840">
        <v>6</v>
      </c>
      <c r="CP840" t="s">
        <v>119</v>
      </c>
      <c r="CQ840">
        <v>209</v>
      </c>
      <c r="CR840">
        <v>3</v>
      </c>
      <c r="CW840">
        <v>7240047</v>
      </c>
      <c r="CY840">
        <v>1</v>
      </c>
      <c r="CZ840">
        <v>0</v>
      </c>
      <c r="DA840">
        <v>1</v>
      </c>
      <c r="DB840">
        <v>0</v>
      </c>
      <c r="DC840">
        <v>0</v>
      </c>
      <c r="DD840">
        <v>1</v>
      </c>
      <c r="DE840">
        <v>0</v>
      </c>
      <c r="DF840">
        <v>0</v>
      </c>
      <c r="DG840">
        <v>0</v>
      </c>
      <c r="DH840">
        <v>0</v>
      </c>
      <c r="DI840">
        <v>0</v>
      </c>
    </row>
    <row r="841" spans="1:113" x14ac:dyDescent="0.3">
      <c r="A841" t="str">
        <f>"09/28/2021 13:57:28.839"</f>
        <v>09/28/2021 13:57:28.839</v>
      </c>
      <c r="C841" t="str">
        <f t="shared" si="41"/>
        <v>FFDFD3C0</v>
      </c>
      <c r="D841" t="s">
        <v>113</v>
      </c>
      <c r="E841">
        <v>7</v>
      </c>
      <c r="H841">
        <v>170</v>
      </c>
      <c r="I841" t="s">
        <v>114</v>
      </c>
      <c r="J841" t="s">
        <v>115</v>
      </c>
      <c r="K841">
        <v>0</v>
      </c>
      <c r="L841">
        <v>3</v>
      </c>
      <c r="M841">
        <v>0</v>
      </c>
      <c r="N841">
        <v>2</v>
      </c>
      <c r="O841">
        <v>1</v>
      </c>
      <c r="P841">
        <v>0</v>
      </c>
      <c r="Q841">
        <v>0</v>
      </c>
      <c r="S841" t="str">
        <f>"13:57:28.617"</f>
        <v>13:57:28.617</v>
      </c>
      <c r="T841" t="str">
        <f>"13:57:28.217"</f>
        <v>13:57:28.217</v>
      </c>
      <c r="U841" t="str">
        <f t="shared" si="43"/>
        <v>A92BC1</v>
      </c>
      <c r="V841">
        <v>0</v>
      </c>
      <c r="W841">
        <v>0</v>
      </c>
      <c r="X841">
        <v>2</v>
      </c>
      <c r="Z841">
        <v>0</v>
      </c>
      <c r="AA841">
        <v>9</v>
      </c>
      <c r="AB841">
        <v>3</v>
      </c>
      <c r="AC841">
        <v>0</v>
      </c>
      <c r="AD841">
        <v>10</v>
      </c>
      <c r="AE841">
        <v>0</v>
      </c>
      <c r="AF841">
        <v>3</v>
      </c>
      <c r="AG841">
        <v>2</v>
      </c>
      <c r="AH841">
        <v>0</v>
      </c>
      <c r="AI841" t="s">
        <v>942</v>
      </c>
      <c r="AJ841">
        <v>45.833910000000003</v>
      </c>
      <c r="AK841" t="s">
        <v>943</v>
      </c>
      <c r="AL841">
        <v>-89.197654999999997</v>
      </c>
      <c r="AM841">
        <v>100</v>
      </c>
      <c r="AN841">
        <v>14200</v>
      </c>
      <c r="AO841" t="s">
        <v>118</v>
      </c>
      <c r="AP841">
        <v>141</v>
      </c>
      <c r="AQ841">
        <v>120</v>
      </c>
      <c r="AR841">
        <v>1536</v>
      </c>
      <c r="AZ841">
        <v>1200</v>
      </c>
      <c r="BA841">
        <v>1</v>
      </c>
      <c r="BB841" t="str">
        <f t="shared" si="42"/>
        <v xml:space="preserve">N690LS  </v>
      </c>
      <c r="BC841">
        <v>1</v>
      </c>
      <c r="BE841">
        <v>0</v>
      </c>
      <c r="BF841">
        <v>0</v>
      </c>
      <c r="BG841">
        <v>0</v>
      </c>
      <c r="BH841">
        <v>14650</v>
      </c>
      <c r="BI841">
        <v>1</v>
      </c>
      <c r="BJ841">
        <v>1</v>
      </c>
      <c r="BK841">
        <v>1</v>
      </c>
      <c r="BL841">
        <v>0</v>
      </c>
      <c r="BO841">
        <v>0</v>
      </c>
      <c r="BP841">
        <v>0</v>
      </c>
      <c r="BW841" t="str">
        <f>"13:57:28.619"</f>
        <v>13:57:28.619</v>
      </c>
      <c r="CJ841">
        <v>0</v>
      </c>
      <c r="CK841">
        <v>2</v>
      </c>
      <c r="CL841">
        <v>0</v>
      </c>
      <c r="CM841">
        <v>2</v>
      </c>
      <c r="CN841">
        <v>0</v>
      </c>
      <c r="CO841">
        <v>6</v>
      </c>
      <c r="CP841" t="s">
        <v>119</v>
      </c>
      <c r="CQ841">
        <v>209</v>
      </c>
      <c r="CR841">
        <v>3</v>
      </c>
      <c r="CW841">
        <v>7240296</v>
      </c>
      <c r="CY841">
        <v>1</v>
      </c>
      <c r="CZ841">
        <v>0</v>
      </c>
      <c r="DA841">
        <v>0</v>
      </c>
      <c r="DB841">
        <v>0</v>
      </c>
      <c r="DC841">
        <v>0</v>
      </c>
      <c r="DD841">
        <v>1</v>
      </c>
      <c r="DE841">
        <v>0</v>
      </c>
      <c r="DF841">
        <v>0</v>
      </c>
      <c r="DG841">
        <v>0</v>
      </c>
      <c r="DH841">
        <v>0</v>
      </c>
      <c r="DI841">
        <v>0</v>
      </c>
    </row>
    <row r="842" spans="1:113" x14ac:dyDescent="0.3">
      <c r="A842" t="str">
        <f>"09/28/2021 13:57:28.839"</f>
        <v>09/28/2021 13:57:28.839</v>
      </c>
      <c r="C842" t="str">
        <f t="shared" si="41"/>
        <v>FFDFD3C0</v>
      </c>
      <c r="D842" t="s">
        <v>120</v>
      </c>
      <c r="E842">
        <v>12</v>
      </c>
      <c r="F842">
        <v>1012</v>
      </c>
      <c r="G842" t="s">
        <v>114</v>
      </c>
      <c r="J842" t="s">
        <v>121</v>
      </c>
      <c r="K842">
        <v>0</v>
      </c>
      <c r="L842">
        <v>3</v>
      </c>
      <c r="M842">
        <v>0</v>
      </c>
      <c r="N842">
        <v>2</v>
      </c>
      <c r="O842">
        <v>1</v>
      </c>
      <c r="P842">
        <v>0</v>
      </c>
      <c r="Q842">
        <v>0</v>
      </c>
      <c r="S842" t="str">
        <f>"13:57:28.617"</f>
        <v>13:57:28.617</v>
      </c>
      <c r="T842" t="str">
        <f>"13:57:28.217"</f>
        <v>13:57:28.217</v>
      </c>
      <c r="U842" t="str">
        <f t="shared" si="43"/>
        <v>A92BC1</v>
      </c>
      <c r="V842">
        <v>0</v>
      </c>
      <c r="W842">
        <v>0</v>
      </c>
      <c r="X842">
        <v>2</v>
      </c>
      <c r="Z842">
        <v>0</v>
      </c>
      <c r="AA842">
        <v>9</v>
      </c>
      <c r="AB842">
        <v>3</v>
      </c>
      <c r="AC842">
        <v>0</v>
      </c>
      <c r="AD842">
        <v>10</v>
      </c>
      <c r="AE842">
        <v>0</v>
      </c>
      <c r="AF842">
        <v>3</v>
      </c>
      <c r="AG842">
        <v>2</v>
      </c>
      <c r="AH842">
        <v>0</v>
      </c>
      <c r="AI842" t="s">
        <v>942</v>
      </c>
      <c r="AJ842">
        <v>45.833910000000003</v>
      </c>
      <c r="AK842" t="s">
        <v>943</v>
      </c>
      <c r="AL842">
        <v>-89.197654999999997</v>
      </c>
      <c r="AM842">
        <v>100</v>
      </c>
      <c r="AN842">
        <v>14200</v>
      </c>
      <c r="AO842" t="s">
        <v>118</v>
      </c>
      <c r="AP842">
        <v>141</v>
      </c>
      <c r="AQ842">
        <v>120</v>
      </c>
      <c r="AR842">
        <v>1536</v>
      </c>
      <c r="AZ842">
        <v>1200</v>
      </c>
      <c r="BA842">
        <v>1</v>
      </c>
      <c r="BB842" t="str">
        <f t="shared" si="42"/>
        <v xml:space="preserve">N690LS  </v>
      </c>
      <c r="BC842">
        <v>1</v>
      </c>
      <c r="BE842">
        <v>0</v>
      </c>
      <c r="BF842">
        <v>0</v>
      </c>
      <c r="BG842">
        <v>0</v>
      </c>
      <c r="BH842">
        <v>14650</v>
      </c>
      <c r="BI842">
        <v>1</v>
      </c>
      <c r="BJ842">
        <v>1</v>
      </c>
      <c r="BK842">
        <v>1</v>
      </c>
      <c r="BL842">
        <v>0</v>
      </c>
      <c r="BO842">
        <v>0</v>
      </c>
      <c r="BP842">
        <v>0</v>
      </c>
      <c r="BW842" t="str">
        <f>"13:57:28.619"</f>
        <v>13:57:28.619</v>
      </c>
      <c r="CJ842">
        <v>0</v>
      </c>
      <c r="CK842">
        <v>2</v>
      </c>
      <c r="CL842">
        <v>0</v>
      </c>
      <c r="CM842">
        <v>2</v>
      </c>
      <c r="CN842">
        <v>0</v>
      </c>
      <c r="CO842">
        <v>6</v>
      </c>
      <c r="CP842" t="s">
        <v>119</v>
      </c>
      <c r="CQ842">
        <v>209</v>
      </c>
      <c r="CR842">
        <v>3</v>
      </c>
      <c r="CW842">
        <v>7240296</v>
      </c>
      <c r="CY842">
        <v>1</v>
      </c>
      <c r="CZ842">
        <v>0</v>
      </c>
      <c r="DA842">
        <v>1</v>
      </c>
      <c r="DB842">
        <v>0</v>
      </c>
      <c r="DC842">
        <v>0</v>
      </c>
      <c r="DD842">
        <v>1</v>
      </c>
      <c r="DE842">
        <v>0</v>
      </c>
      <c r="DF842">
        <v>0</v>
      </c>
      <c r="DG842">
        <v>0</v>
      </c>
      <c r="DH842">
        <v>0</v>
      </c>
      <c r="DI842">
        <v>0</v>
      </c>
    </row>
    <row r="843" spans="1:113" x14ac:dyDescent="0.3">
      <c r="A843" t="str">
        <f>"09/28/2021 13:57:29.653"</f>
        <v>09/28/2021 13:57:29.653</v>
      </c>
      <c r="C843" t="str">
        <f t="shared" si="41"/>
        <v>FFDFD3C0</v>
      </c>
      <c r="D843" t="s">
        <v>113</v>
      </c>
      <c r="E843">
        <v>7</v>
      </c>
      <c r="H843">
        <v>170</v>
      </c>
      <c r="I843" t="s">
        <v>114</v>
      </c>
      <c r="J843" t="s">
        <v>115</v>
      </c>
      <c r="K843">
        <v>0</v>
      </c>
      <c r="L843">
        <v>3</v>
      </c>
      <c r="M843">
        <v>0</v>
      </c>
      <c r="N843">
        <v>2</v>
      </c>
      <c r="O843">
        <v>1</v>
      </c>
      <c r="P843">
        <v>0</v>
      </c>
      <c r="Q843">
        <v>0</v>
      </c>
      <c r="S843" t="str">
        <f>"13:57:29.461"</f>
        <v>13:57:29.461</v>
      </c>
      <c r="T843" t="str">
        <f>"13:57:29.061"</f>
        <v>13:57:29.061</v>
      </c>
      <c r="U843" t="str">
        <f t="shared" si="43"/>
        <v>A92BC1</v>
      </c>
      <c r="V843">
        <v>0</v>
      </c>
      <c r="W843">
        <v>0</v>
      </c>
      <c r="X843">
        <v>2</v>
      </c>
      <c r="Z843">
        <v>0</v>
      </c>
      <c r="AA843">
        <v>9</v>
      </c>
      <c r="AB843">
        <v>3</v>
      </c>
      <c r="AC843">
        <v>0</v>
      </c>
      <c r="AD843">
        <v>10</v>
      </c>
      <c r="AE843">
        <v>0</v>
      </c>
      <c r="AF843">
        <v>3</v>
      </c>
      <c r="AG843">
        <v>2</v>
      </c>
      <c r="AH843">
        <v>0</v>
      </c>
      <c r="AI843" t="s">
        <v>944</v>
      </c>
      <c r="AJ843">
        <v>45.834403000000002</v>
      </c>
      <c r="AK843" t="s">
        <v>945</v>
      </c>
      <c r="AL843">
        <v>-89.196753999999999</v>
      </c>
      <c r="AM843">
        <v>100</v>
      </c>
      <c r="AN843">
        <v>14200</v>
      </c>
      <c r="AO843" t="s">
        <v>118</v>
      </c>
      <c r="AP843">
        <v>141</v>
      </c>
      <c r="AQ843">
        <v>120</v>
      </c>
      <c r="AR843">
        <v>1536</v>
      </c>
      <c r="AZ843">
        <v>1200</v>
      </c>
      <c r="BA843">
        <v>1</v>
      </c>
      <c r="BB843" t="str">
        <f t="shared" si="42"/>
        <v xml:space="preserve">N690LS  </v>
      </c>
      <c r="BC843">
        <v>1</v>
      </c>
      <c r="BE843">
        <v>0</v>
      </c>
      <c r="BF843">
        <v>0</v>
      </c>
      <c r="BG843">
        <v>0</v>
      </c>
      <c r="BH843">
        <v>14675</v>
      </c>
      <c r="BI843">
        <v>1</v>
      </c>
      <c r="BJ843">
        <v>1</v>
      </c>
      <c r="BK843">
        <v>1</v>
      </c>
      <c r="BL843">
        <v>0</v>
      </c>
      <c r="BO843">
        <v>0</v>
      </c>
      <c r="BP843">
        <v>0</v>
      </c>
      <c r="BW843" t="str">
        <f>"13:57:29.462"</f>
        <v>13:57:29.462</v>
      </c>
      <c r="CJ843">
        <v>0</v>
      </c>
      <c r="CK843">
        <v>2</v>
      </c>
      <c r="CL843">
        <v>0</v>
      </c>
      <c r="CM843">
        <v>2</v>
      </c>
      <c r="CN843">
        <v>0</v>
      </c>
      <c r="CO843">
        <v>6</v>
      </c>
      <c r="CP843" t="s">
        <v>119</v>
      </c>
      <c r="CQ843">
        <v>209</v>
      </c>
      <c r="CR843">
        <v>3</v>
      </c>
      <c r="CW843">
        <v>7240520</v>
      </c>
      <c r="CY843">
        <v>1</v>
      </c>
      <c r="CZ843">
        <v>0</v>
      </c>
      <c r="DA843">
        <v>0</v>
      </c>
      <c r="DB843">
        <v>0</v>
      </c>
      <c r="DC843">
        <v>0</v>
      </c>
      <c r="DD843">
        <v>1</v>
      </c>
      <c r="DE843">
        <v>0</v>
      </c>
      <c r="DF843">
        <v>0</v>
      </c>
      <c r="DG843">
        <v>0</v>
      </c>
      <c r="DH843">
        <v>0</v>
      </c>
      <c r="DI843">
        <v>0</v>
      </c>
    </row>
    <row r="844" spans="1:113" x14ac:dyDescent="0.3">
      <c r="A844" t="str">
        <f>"09/28/2021 13:57:29.715"</f>
        <v>09/28/2021 13:57:29.715</v>
      </c>
      <c r="C844" t="str">
        <f t="shared" si="41"/>
        <v>FFDFD3C0</v>
      </c>
      <c r="D844" t="s">
        <v>120</v>
      </c>
      <c r="E844">
        <v>12</v>
      </c>
      <c r="F844">
        <v>1012</v>
      </c>
      <c r="G844" t="s">
        <v>114</v>
      </c>
      <c r="J844" t="s">
        <v>121</v>
      </c>
      <c r="K844">
        <v>0</v>
      </c>
      <c r="L844">
        <v>3</v>
      </c>
      <c r="M844">
        <v>0</v>
      </c>
      <c r="N844">
        <v>2</v>
      </c>
      <c r="O844">
        <v>1</v>
      </c>
      <c r="P844">
        <v>0</v>
      </c>
      <c r="Q844">
        <v>0</v>
      </c>
      <c r="S844" t="str">
        <f>"13:57:29.461"</f>
        <v>13:57:29.461</v>
      </c>
      <c r="T844" t="str">
        <f>"13:57:29.061"</f>
        <v>13:57:29.061</v>
      </c>
      <c r="U844" t="str">
        <f t="shared" si="43"/>
        <v>A92BC1</v>
      </c>
      <c r="V844">
        <v>0</v>
      </c>
      <c r="W844">
        <v>0</v>
      </c>
      <c r="X844">
        <v>2</v>
      </c>
      <c r="Z844">
        <v>0</v>
      </c>
      <c r="AA844">
        <v>9</v>
      </c>
      <c r="AB844">
        <v>3</v>
      </c>
      <c r="AC844">
        <v>0</v>
      </c>
      <c r="AD844">
        <v>10</v>
      </c>
      <c r="AE844">
        <v>0</v>
      </c>
      <c r="AF844">
        <v>3</v>
      </c>
      <c r="AG844">
        <v>2</v>
      </c>
      <c r="AH844">
        <v>0</v>
      </c>
      <c r="AI844" t="s">
        <v>944</v>
      </c>
      <c r="AJ844">
        <v>45.834403000000002</v>
      </c>
      <c r="AK844" t="s">
        <v>945</v>
      </c>
      <c r="AL844">
        <v>-89.196753999999999</v>
      </c>
      <c r="AM844">
        <v>100</v>
      </c>
      <c r="AN844">
        <v>14200</v>
      </c>
      <c r="AO844" t="s">
        <v>118</v>
      </c>
      <c r="AP844">
        <v>141</v>
      </c>
      <c r="AQ844">
        <v>120</v>
      </c>
      <c r="AR844">
        <v>1536</v>
      </c>
      <c r="AZ844">
        <v>1200</v>
      </c>
      <c r="BA844">
        <v>1</v>
      </c>
      <c r="BB844" t="str">
        <f t="shared" si="42"/>
        <v xml:space="preserve">N690LS  </v>
      </c>
      <c r="BC844">
        <v>1</v>
      </c>
      <c r="BE844">
        <v>0</v>
      </c>
      <c r="BF844">
        <v>0</v>
      </c>
      <c r="BG844">
        <v>0</v>
      </c>
      <c r="BH844">
        <v>14675</v>
      </c>
      <c r="BI844">
        <v>1</v>
      </c>
      <c r="BJ844">
        <v>1</v>
      </c>
      <c r="BK844">
        <v>1</v>
      </c>
      <c r="BL844">
        <v>0</v>
      </c>
      <c r="BO844">
        <v>0</v>
      </c>
      <c r="BP844">
        <v>0</v>
      </c>
      <c r="BW844" t="str">
        <f>"13:57:29.462"</f>
        <v>13:57:29.462</v>
      </c>
      <c r="CJ844">
        <v>0</v>
      </c>
      <c r="CK844">
        <v>2</v>
      </c>
      <c r="CL844">
        <v>0</v>
      </c>
      <c r="CM844">
        <v>2</v>
      </c>
      <c r="CN844">
        <v>0</v>
      </c>
      <c r="CO844">
        <v>6</v>
      </c>
      <c r="CP844" t="s">
        <v>119</v>
      </c>
      <c r="CQ844">
        <v>209</v>
      </c>
      <c r="CR844">
        <v>3</v>
      </c>
      <c r="CW844">
        <v>7240520</v>
      </c>
      <c r="CY844">
        <v>1</v>
      </c>
      <c r="CZ844">
        <v>0</v>
      </c>
      <c r="DA844">
        <v>1</v>
      </c>
      <c r="DB844">
        <v>0</v>
      </c>
      <c r="DC844">
        <v>0</v>
      </c>
      <c r="DD844">
        <v>1</v>
      </c>
      <c r="DE844">
        <v>0</v>
      </c>
      <c r="DF844">
        <v>0</v>
      </c>
      <c r="DG844">
        <v>0</v>
      </c>
      <c r="DH844">
        <v>0</v>
      </c>
      <c r="DI844">
        <v>0</v>
      </c>
    </row>
    <row r="845" spans="1:113" x14ac:dyDescent="0.3">
      <c r="A845" t="str">
        <f>"09/28/2021 13:57:30.778"</f>
        <v>09/28/2021 13:57:30.778</v>
      </c>
      <c r="C845" t="str">
        <f t="shared" si="41"/>
        <v>FFDFD3C0</v>
      </c>
      <c r="D845" t="s">
        <v>113</v>
      </c>
      <c r="E845">
        <v>7</v>
      </c>
      <c r="H845">
        <v>170</v>
      </c>
      <c r="I845" t="s">
        <v>114</v>
      </c>
      <c r="J845" t="s">
        <v>115</v>
      </c>
      <c r="K845">
        <v>0</v>
      </c>
      <c r="L845">
        <v>3</v>
      </c>
      <c r="M845">
        <v>0</v>
      </c>
      <c r="N845">
        <v>2</v>
      </c>
      <c r="O845">
        <v>1</v>
      </c>
      <c r="P845">
        <v>0</v>
      </c>
      <c r="Q845">
        <v>0</v>
      </c>
      <c r="S845" t="str">
        <f>"13:57:30.563"</f>
        <v>13:57:30.563</v>
      </c>
      <c r="T845" t="str">
        <f>"13:57:30.063"</f>
        <v>13:57:30.063</v>
      </c>
      <c r="U845" t="str">
        <f t="shared" si="43"/>
        <v>A92BC1</v>
      </c>
      <c r="V845">
        <v>0</v>
      </c>
      <c r="W845">
        <v>0</v>
      </c>
      <c r="X845">
        <v>2</v>
      </c>
      <c r="Z845">
        <v>0</v>
      </c>
      <c r="AA845">
        <v>9</v>
      </c>
      <c r="AB845">
        <v>3</v>
      </c>
      <c r="AC845">
        <v>0</v>
      </c>
      <c r="AD845">
        <v>10</v>
      </c>
      <c r="AE845">
        <v>0</v>
      </c>
      <c r="AF845">
        <v>3</v>
      </c>
      <c r="AG845">
        <v>2</v>
      </c>
      <c r="AH845">
        <v>0</v>
      </c>
      <c r="AI845" t="s">
        <v>946</v>
      </c>
      <c r="AJ845">
        <v>45.835003999999998</v>
      </c>
      <c r="AK845" t="s">
        <v>947</v>
      </c>
      <c r="AL845">
        <v>-89.195787999999993</v>
      </c>
      <c r="AM845">
        <v>100</v>
      </c>
      <c r="AN845">
        <v>14200</v>
      </c>
      <c r="AO845" t="s">
        <v>118</v>
      </c>
      <c r="AP845">
        <v>141</v>
      </c>
      <c r="AQ845">
        <v>120</v>
      </c>
      <c r="AR845">
        <v>1536</v>
      </c>
      <c r="AZ845">
        <v>1200</v>
      </c>
      <c r="BA845">
        <v>1</v>
      </c>
      <c r="BB845" t="str">
        <f t="shared" si="42"/>
        <v xml:space="preserve">N690LS  </v>
      </c>
      <c r="BC845">
        <v>1</v>
      </c>
      <c r="BE845">
        <v>0</v>
      </c>
      <c r="BF845">
        <v>0</v>
      </c>
      <c r="BG845">
        <v>0</v>
      </c>
      <c r="BH845">
        <v>14700</v>
      </c>
      <c r="BI845">
        <v>1</v>
      </c>
      <c r="BJ845">
        <v>1</v>
      </c>
      <c r="BK845">
        <v>1</v>
      </c>
      <c r="BL845">
        <v>0</v>
      </c>
      <c r="BO845">
        <v>0</v>
      </c>
      <c r="BP845">
        <v>0</v>
      </c>
      <c r="BW845" t="str">
        <f>"13:57:30.567"</f>
        <v>13:57:30.567</v>
      </c>
      <c r="CJ845">
        <v>0</v>
      </c>
      <c r="CK845">
        <v>2</v>
      </c>
      <c r="CL845">
        <v>0</v>
      </c>
      <c r="CM845">
        <v>2</v>
      </c>
      <c r="CN845">
        <v>0</v>
      </c>
      <c r="CO845">
        <v>6</v>
      </c>
      <c r="CP845" t="s">
        <v>119</v>
      </c>
      <c r="CQ845">
        <v>209</v>
      </c>
      <c r="CR845">
        <v>3</v>
      </c>
      <c r="CW845">
        <v>7240820</v>
      </c>
      <c r="CY845">
        <v>1</v>
      </c>
      <c r="CZ845">
        <v>0</v>
      </c>
      <c r="DA845">
        <v>0</v>
      </c>
      <c r="DB845">
        <v>0</v>
      </c>
      <c r="DC845">
        <v>0</v>
      </c>
      <c r="DD845">
        <v>1</v>
      </c>
      <c r="DE845">
        <v>0</v>
      </c>
      <c r="DF845">
        <v>0</v>
      </c>
      <c r="DG845">
        <v>0</v>
      </c>
      <c r="DH845">
        <v>0</v>
      </c>
      <c r="DI845">
        <v>0</v>
      </c>
    </row>
    <row r="846" spans="1:113" x14ac:dyDescent="0.3">
      <c r="A846" t="str">
        <f>"09/28/2021 13:57:30.793"</f>
        <v>09/28/2021 13:57:30.793</v>
      </c>
      <c r="C846" t="str">
        <f t="shared" si="41"/>
        <v>FFDFD3C0</v>
      </c>
      <c r="D846" t="s">
        <v>120</v>
      </c>
      <c r="E846">
        <v>12</v>
      </c>
      <c r="F846">
        <v>1012</v>
      </c>
      <c r="G846" t="s">
        <v>114</v>
      </c>
      <c r="J846" t="s">
        <v>121</v>
      </c>
      <c r="K846">
        <v>0</v>
      </c>
      <c r="L846">
        <v>3</v>
      </c>
      <c r="M846">
        <v>0</v>
      </c>
      <c r="N846">
        <v>2</v>
      </c>
      <c r="O846">
        <v>1</v>
      </c>
      <c r="P846">
        <v>0</v>
      </c>
      <c r="Q846">
        <v>0</v>
      </c>
      <c r="S846" t="str">
        <f>"13:57:30.563"</f>
        <v>13:57:30.563</v>
      </c>
      <c r="T846" t="str">
        <f>"13:57:30.063"</f>
        <v>13:57:30.063</v>
      </c>
      <c r="U846" t="str">
        <f t="shared" si="43"/>
        <v>A92BC1</v>
      </c>
      <c r="V846">
        <v>0</v>
      </c>
      <c r="W846">
        <v>0</v>
      </c>
      <c r="X846">
        <v>2</v>
      </c>
      <c r="Z846">
        <v>0</v>
      </c>
      <c r="AA846">
        <v>9</v>
      </c>
      <c r="AB846">
        <v>3</v>
      </c>
      <c r="AC846">
        <v>0</v>
      </c>
      <c r="AD846">
        <v>10</v>
      </c>
      <c r="AE846">
        <v>0</v>
      </c>
      <c r="AF846">
        <v>3</v>
      </c>
      <c r="AG846">
        <v>2</v>
      </c>
      <c r="AH846">
        <v>0</v>
      </c>
      <c r="AI846" t="s">
        <v>946</v>
      </c>
      <c r="AJ846">
        <v>45.835003999999998</v>
      </c>
      <c r="AK846" t="s">
        <v>947</v>
      </c>
      <c r="AL846">
        <v>-89.195787999999993</v>
      </c>
      <c r="AM846">
        <v>100</v>
      </c>
      <c r="AN846">
        <v>14200</v>
      </c>
      <c r="AO846" t="s">
        <v>118</v>
      </c>
      <c r="AP846">
        <v>141</v>
      </c>
      <c r="AQ846">
        <v>120</v>
      </c>
      <c r="AR846">
        <v>1536</v>
      </c>
      <c r="AZ846">
        <v>1200</v>
      </c>
      <c r="BA846">
        <v>1</v>
      </c>
      <c r="BB846" t="str">
        <f t="shared" si="42"/>
        <v xml:space="preserve">N690LS  </v>
      </c>
      <c r="BC846">
        <v>1</v>
      </c>
      <c r="BE846">
        <v>0</v>
      </c>
      <c r="BF846">
        <v>0</v>
      </c>
      <c r="BG846">
        <v>0</v>
      </c>
      <c r="BH846">
        <v>14700</v>
      </c>
      <c r="BI846">
        <v>1</v>
      </c>
      <c r="BJ846">
        <v>1</v>
      </c>
      <c r="BK846">
        <v>1</v>
      </c>
      <c r="BL846">
        <v>0</v>
      </c>
      <c r="BO846">
        <v>0</v>
      </c>
      <c r="BP846">
        <v>0</v>
      </c>
      <c r="BW846" t="str">
        <f>"13:57:30.567"</f>
        <v>13:57:30.567</v>
      </c>
      <c r="CJ846">
        <v>0</v>
      </c>
      <c r="CK846">
        <v>2</v>
      </c>
      <c r="CL846">
        <v>0</v>
      </c>
      <c r="CM846">
        <v>2</v>
      </c>
      <c r="CN846">
        <v>0</v>
      </c>
      <c r="CO846">
        <v>6</v>
      </c>
      <c r="CP846" t="s">
        <v>119</v>
      </c>
      <c r="CQ846">
        <v>209</v>
      </c>
      <c r="CR846">
        <v>3</v>
      </c>
      <c r="CW846">
        <v>7240820</v>
      </c>
      <c r="CY846">
        <v>1</v>
      </c>
      <c r="CZ846">
        <v>0</v>
      </c>
      <c r="DA846">
        <v>1</v>
      </c>
      <c r="DB846">
        <v>0</v>
      </c>
      <c r="DC846">
        <v>0</v>
      </c>
      <c r="DD846">
        <v>1</v>
      </c>
      <c r="DE846">
        <v>0</v>
      </c>
      <c r="DF846">
        <v>0</v>
      </c>
      <c r="DG846">
        <v>0</v>
      </c>
      <c r="DH846">
        <v>0</v>
      </c>
      <c r="DI846">
        <v>0</v>
      </c>
    </row>
    <row r="847" spans="1:113" x14ac:dyDescent="0.3">
      <c r="A847" t="str">
        <f>"09/28/2021 13:57:31.854"</f>
        <v>09/28/2021 13:57:31.854</v>
      </c>
      <c r="C847" t="str">
        <f t="shared" si="41"/>
        <v>FFDFD3C0</v>
      </c>
      <c r="D847" t="s">
        <v>120</v>
      </c>
      <c r="E847">
        <v>12</v>
      </c>
      <c r="F847">
        <v>1012</v>
      </c>
      <c r="G847" t="s">
        <v>114</v>
      </c>
      <c r="J847" t="s">
        <v>121</v>
      </c>
      <c r="K847">
        <v>0</v>
      </c>
      <c r="L847">
        <v>3</v>
      </c>
      <c r="M847">
        <v>0</v>
      </c>
      <c r="N847">
        <v>2</v>
      </c>
      <c r="O847">
        <v>1</v>
      </c>
      <c r="P847">
        <v>0</v>
      </c>
      <c r="Q847">
        <v>0</v>
      </c>
      <c r="S847" t="str">
        <f>"13:57:31.680"</f>
        <v>13:57:31.680</v>
      </c>
      <c r="T847" t="str">
        <f>"13:57:31.180"</f>
        <v>13:57:31.180</v>
      </c>
      <c r="U847" t="str">
        <f t="shared" si="43"/>
        <v>A92BC1</v>
      </c>
      <c r="V847">
        <v>0</v>
      </c>
      <c r="W847">
        <v>0</v>
      </c>
      <c r="X847">
        <v>2</v>
      </c>
      <c r="Z847">
        <v>0</v>
      </c>
      <c r="AA847">
        <v>9</v>
      </c>
      <c r="AB847">
        <v>3</v>
      </c>
      <c r="AC847">
        <v>0</v>
      </c>
      <c r="AD847">
        <v>10</v>
      </c>
      <c r="AE847">
        <v>0</v>
      </c>
      <c r="AF847">
        <v>3</v>
      </c>
      <c r="AG847">
        <v>2</v>
      </c>
      <c r="AH847">
        <v>0</v>
      </c>
      <c r="AI847" t="s">
        <v>948</v>
      </c>
      <c r="AJ847">
        <v>45.835605000000001</v>
      </c>
      <c r="AK847" t="s">
        <v>949</v>
      </c>
      <c r="AL847">
        <v>-89.194778999999997</v>
      </c>
      <c r="AM847">
        <v>100</v>
      </c>
      <c r="AN847">
        <v>14300</v>
      </c>
      <c r="AO847" t="s">
        <v>118</v>
      </c>
      <c r="AP847">
        <v>141</v>
      </c>
      <c r="AQ847">
        <v>120</v>
      </c>
      <c r="AR847">
        <v>1536</v>
      </c>
      <c r="AZ847">
        <v>1200</v>
      </c>
      <c r="BA847">
        <v>1</v>
      </c>
      <c r="BB847" t="str">
        <f t="shared" si="42"/>
        <v xml:space="preserve">N690LS  </v>
      </c>
      <c r="BC847">
        <v>1</v>
      </c>
      <c r="BE847">
        <v>0</v>
      </c>
      <c r="BF847">
        <v>0</v>
      </c>
      <c r="BG847">
        <v>0</v>
      </c>
      <c r="BH847">
        <v>14725</v>
      </c>
      <c r="BI847">
        <v>1</v>
      </c>
      <c r="BJ847">
        <v>1</v>
      </c>
      <c r="BK847">
        <v>1</v>
      </c>
      <c r="BL847">
        <v>0</v>
      </c>
      <c r="BO847">
        <v>0</v>
      </c>
      <c r="BP847">
        <v>0</v>
      </c>
      <c r="BW847" t="str">
        <f>"13:57:31.685"</f>
        <v>13:57:31.685</v>
      </c>
      <c r="CJ847">
        <v>0</v>
      </c>
      <c r="CK847">
        <v>2</v>
      </c>
      <c r="CL847">
        <v>0</v>
      </c>
      <c r="CM847">
        <v>2</v>
      </c>
      <c r="CN847">
        <v>0</v>
      </c>
      <c r="CO847">
        <v>6</v>
      </c>
      <c r="CP847" t="s">
        <v>119</v>
      </c>
      <c r="CQ847">
        <v>209</v>
      </c>
      <c r="CR847">
        <v>3</v>
      </c>
      <c r="CW847">
        <v>7241139</v>
      </c>
      <c r="CY847">
        <v>1</v>
      </c>
      <c r="CZ847">
        <v>0</v>
      </c>
      <c r="DA847">
        <v>0</v>
      </c>
      <c r="DB847">
        <v>0</v>
      </c>
      <c r="DC847">
        <v>0</v>
      </c>
      <c r="DD847">
        <v>1</v>
      </c>
      <c r="DE847">
        <v>0</v>
      </c>
      <c r="DF847">
        <v>0</v>
      </c>
      <c r="DG847">
        <v>0</v>
      </c>
      <c r="DH847">
        <v>0</v>
      </c>
      <c r="DI847">
        <v>0</v>
      </c>
    </row>
    <row r="848" spans="1:113" x14ac:dyDescent="0.3">
      <c r="A848" t="str">
        <f>"09/28/2021 13:57:31.870"</f>
        <v>09/28/2021 13:57:31.870</v>
      </c>
      <c r="C848" t="str">
        <f t="shared" si="41"/>
        <v>FFDFD3C0</v>
      </c>
      <c r="D848" t="s">
        <v>113</v>
      </c>
      <c r="E848">
        <v>7</v>
      </c>
      <c r="H848">
        <v>170</v>
      </c>
      <c r="I848" t="s">
        <v>114</v>
      </c>
      <c r="J848" t="s">
        <v>115</v>
      </c>
      <c r="K848">
        <v>0</v>
      </c>
      <c r="L848">
        <v>3</v>
      </c>
      <c r="M848">
        <v>0</v>
      </c>
      <c r="N848">
        <v>2</v>
      </c>
      <c r="O848">
        <v>1</v>
      </c>
      <c r="P848">
        <v>0</v>
      </c>
      <c r="Q848">
        <v>0</v>
      </c>
      <c r="S848" t="str">
        <f>"13:57:31.680"</f>
        <v>13:57:31.680</v>
      </c>
      <c r="T848" t="str">
        <f>"13:57:31.180"</f>
        <v>13:57:31.180</v>
      </c>
      <c r="U848" t="str">
        <f t="shared" si="43"/>
        <v>A92BC1</v>
      </c>
      <c r="V848">
        <v>0</v>
      </c>
      <c r="W848">
        <v>0</v>
      </c>
      <c r="X848">
        <v>2</v>
      </c>
      <c r="Z848">
        <v>0</v>
      </c>
      <c r="AA848">
        <v>9</v>
      </c>
      <c r="AB848">
        <v>3</v>
      </c>
      <c r="AC848">
        <v>0</v>
      </c>
      <c r="AD848">
        <v>10</v>
      </c>
      <c r="AE848">
        <v>0</v>
      </c>
      <c r="AF848">
        <v>3</v>
      </c>
      <c r="AG848">
        <v>2</v>
      </c>
      <c r="AH848">
        <v>0</v>
      </c>
      <c r="AI848" t="s">
        <v>948</v>
      </c>
      <c r="AJ848">
        <v>45.835605000000001</v>
      </c>
      <c r="AK848" t="s">
        <v>949</v>
      </c>
      <c r="AL848">
        <v>-89.194778999999997</v>
      </c>
      <c r="AM848">
        <v>100</v>
      </c>
      <c r="AN848">
        <v>14300</v>
      </c>
      <c r="AO848" t="s">
        <v>118</v>
      </c>
      <c r="AP848">
        <v>141</v>
      </c>
      <c r="AQ848">
        <v>120</v>
      </c>
      <c r="AR848">
        <v>1536</v>
      </c>
      <c r="AZ848">
        <v>1200</v>
      </c>
      <c r="BA848">
        <v>1</v>
      </c>
      <c r="BB848" t="str">
        <f t="shared" si="42"/>
        <v xml:space="preserve">N690LS  </v>
      </c>
      <c r="BC848">
        <v>1</v>
      </c>
      <c r="BE848">
        <v>0</v>
      </c>
      <c r="BF848">
        <v>0</v>
      </c>
      <c r="BG848">
        <v>0</v>
      </c>
      <c r="BH848">
        <v>14725</v>
      </c>
      <c r="BI848">
        <v>1</v>
      </c>
      <c r="BJ848">
        <v>1</v>
      </c>
      <c r="BK848">
        <v>1</v>
      </c>
      <c r="BL848">
        <v>0</v>
      </c>
      <c r="BO848">
        <v>0</v>
      </c>
      <c r="BP848">
        <v>0</v>
      </c>
      <c r="BW848" t="str">
        <f>"13:57:31.685"</f>
        <v>13:57:31.685</v>
      </c>
      <c r="CJ848">
        <v>0</v>
      </c>
      <c r="CK848">
        <v>2</v>
      </c>
      <c r="CL848">
        <v>0</v>
      </c>
      <c r="CM848">
        <v>2</v>
      </c>
      <c r="CN848">
        <v>0</v>
      </c>
      <c r="CO848">
        <v>6</v>
      </c>
      <c r="CP848" t="s">
        <v>119</v>
      </c>
      <c r="CQ848">
        <v>209</v>
      </c>
      <c r="CR848">
        <v>3</v>
      </c>
      <c r="CW848">
        <v>7241139</v>
      </c>
      <c r="CY848">
        <v>1</v>
      </c>
      <c r="CZ848">
        <v>0</v>
      </c>
      <c r="DA848">
        <v>1</v>
      </c>
      <c r="DB848">
        <v>0</v>
      </c>
      <c r="DC848">
        <v>0</v>
      </c>
      <c r="DD848">
        <v>1</v>
      </c>
      <c r="DE848">
        <v>0</v>
      </c>
      <c r="DF848">
        <v>0</v>
      </c>
      <c r="DG848">
        <v>0</v>
      </c>
      <c r="DH848">
        <v>0</v>
      </c>
      <c r="DI848">
        <v>0</v>
      </c>
    </row>
    <row r="849" spans="1:113" x14ac:dyDescent="0.3">
      <c r="A849" t="str">
        <f>"09/28/2021 13:57:32.886"</f>
        <v>09/28/2021 13:57:32.886</v>
      </c>
      <c r="C849" t="str">
        <f t="shared" si="41"/>
        <v>FFDFD3C0</v>
      </c>
      <c r="D849" t="s">
        <v>113</v>
      </c>
      <c r="E849">
        <v>7</v>
      </c>
      <c r="H849">
        <v>170</v>
      </c>
      <c r="I849" t="s">
        <v>114</v>
      </c>
      <c r="J849" t="s">
        <v>115</v>
      </c>
      <c r="K849">
        <v>0</v>
      </c>
      <c r="L849">
        <v>3</v>
      </c>
      <c r="M849">
        <v>0</v>
      </c>
      <c r="N849">
        <v>2</v>
      </c>
      <c r="O849">
        <v>1</v>
      </c>
      <c r="P849">
        <v>0</v>
      </c>
      <c r="Q849">
        <v>0</v>
      </c>
      <c r="S849" t="str">
        <f>"13:57:32.703"</f>
        <v>13:57:32.703</v>
      </c>
      <c r="T849" t="str">
        <f>"13:57:32.203"</f>
        <v>13:57:32.203</v>
      </c>
      <c r="U849" t="str">
        <f t="shared" si="43"/>
        <v>A92BC1</v>
      </c>
      <c r="V849">
        <v>0</v>
      </c>
      <c r="W849">
        <v>0</v>
      </c>
      <c r="X849">
        <v>2</v>
      </c>
      <c r="Z849">
        <v>0</v>
      </c>
      <c r="AA849">
        <v>9</v>
      </c>
      <c r="AB849">
        <v>3</v>
      </c>
      <c r="AC849">
        <v>0</v>
      </c>
      <c r="AD849">
        <v>10</v>
      </c>
      <c r="AE849">
        <v>0</v>
      </c>
      <c r="AF849">
        <v>3</v>
      </c>
      <c r="AG849">
        <v>2</v>
      </c>
      <c r="AH849">
        <v>0</v>
      </c>
      <c r="AI849" t="s">
        <v>950</v>
      </c>
      <c r="AJ849">
        <v>45.836162999999999</v>
      </c>
      <c r="AK849" t="s">
        <v>951</v>
      </c>
      <c r="AL849">
        <v>-89.193814000000003</v>
      </c>
      <c r="AM849">
        <v>100</v>
      </c>
      <c r="AN849">
        <v>14300</v>
      </c>
      <c r="AO849" t="s">
        <v>118</v>
      </c>
      <c r="AP849">
        <v>141</v>
      </c>
      <c r="AQ849">
        <v>120</v>
      </c>
      <c r="AR849">
        <v>1536</v>
      </c>
      <c r="AZ849">
        <v>1200</v>
      </c>
      <c r="BA849">
        <v>1</v>
      </c>
      <c r="BB849" t="str">
        <f t="shared" si="42"/>
        <v xml:space="preserve">N690LS  </v>
      </c>
      <c r="BC849">
        <v>1</v>
      </c>
      <c r="BE849">
        <v>0</v>
      </c>
      <c r="BF849">
        <v>0</v>
      </c>
      <c r="BG849">
        <v>0</v>
      </c>
      <c r="BH849">
        <v>14750</v>
      </c>
      <c r="BI849">
        <v>1</v>
      </c>
      <c r="BJ849">
        <v>1</v>
      </c>
      <c r="BK849">
        <v>1</v>
      </c>
      <c r="BL849">
        <v>0</v>
      </c>
      <c r="BO849">
        <v>0</v>
      </c>
      <c r="BP849">
        <v>0</v>
      </c>
      <c r="BW849" t="str">
        <f>"13:57:32.711"</f>
        <v>13:57:32.711</v>
      </c>
      <c r="CJ849">
        <v>0</v>
      </c>
      <c r="CK849">
        <v>2</v>
      </c>
      <c r="CL849">
        <v>0</v>
      </c>
      <c r="CM849">
        <v>2</v>
      </c>
      <c r="CN849">
        <v>0</v>
      </c>
      <c r="CO849">
        <v>6</v>
      </c>
      <c r="CP849" t="s">
        <v>119</v>
      </c>
      <c r="CQ849">
        <v>209</v>
      </c>
      <c r="CR849">
        <v>3</v>
      </c>
      <c r="CW849">
        <v>7241459</v>
      </c>
      <c r="CY849">
        <v>1</v>
      </c>
      <c r="CZ849">
        <v>0</v>
      </c>
      <c r="DA849">
        <v>0</v>
      </c>
      <c r="DB849">
        <v>0</v>
      </c>
      <c r="DC849">
        <v>0</v>
      </c>
      <c r="DD849">
        <v>1</v>
      </c>
      <c r="DE849">
        <v>0</v>
      </c>
      <c r="DF849">
        <v>0</v>
      </c>
      <c r="DG849">
        <v>0</v>
      </c>
      <c r="DH849">
        <v>0</v>
      </c>
      <c r="DI849">
        <v>0</v>
      </c>
    </row>
    <row r="850" spans="1:113" x14ac:dyDescent="0.3">
      <c r="A850" t="str">
        <f>"09/28/2021 13:57:32.917"</f>
        <v>09/28/2021 13:57:32.917</v>
      </c>
      <c r="C850" t="str">
        <f t="shared" si="41"/>
        <v>FFDFD3C0</v>
      </c>
      <c r="D850" t="s">
        <v>120</v>
      </c>
      <c r="E850">
        <v>12</v>
      </c>
      <c r="F850">
        <v>1012</v>
      </c>
      <c r="G850" t="s">
        <v>114</v>
      </c>
      <c r="J850" t="s">
        <v>121</v>
      </c>
      <c r="K850">
        <v>0</v>
      </c>
      <c r="L850">
        <v>3</v>
      </c>
      <c r="M850">
        <v>0</v>
      </c>
      <c r="N850">
        <v>2</v>
      </c>
      <c r="O850">
        <v>1</v>
      </c>
      <c r="P850">
        <v>0</v>
      </c>
      <c r="Q850">
        <v>0</v>
      </c>
      <c r="S850" t="str">
        <f>"13:57:32.703"</f>
        <v>13:57:32.703</v>
      </c>
      <c r="T850" t="str">
        <f>"13:57:32.203"</f>
        <v>13:57:32.203</v>
      </c>
      <c r="U850" t="str">
        <f t="shared" si="43"/>
        <v>A92BC1</v>
      </c>
      <c r="V850">
        <v>0</v>
      </c>
      <c r="W850">
        <v>0</v>
      </c>
      <c r="X850">
        <v>2</v>
      </c>
      <c r="Z850">
        <v>0</v>
      </c>
      <c r="AA850">
        <v>9</v>
      </c>
      <c r="AB850">
        <v>3</v>
      </c>
      <c r="AC850">
        <v>0</v>
      </c>
      <c r="AD850">
        <v>10</v>
      </c>
      <c r="AE850">
        <v>0</v>
      </c>
      <c r="AF850">
        <v>3</v>
      </c>
      <c r="AG850">
        <v>2</v>
      </c>
      <c r="AH850">
        <v>0</v>
      </c>
      <c r="AI850" t="s">
        <v>950</v>
      </c>
      <c r="AJ850">
        <v>45.836162999999999</v>
      </c>
      <c r="AK850" t="s">
        <v>951</v>
      </c>
      <c r="AL850">
        <v>-89.193814000000003</v>
      </c>
      <c r="AM850">
        <v>100</v>
      </c>
      <c r="AN850">
        <v>14300</v>
      </c>
      <c r="AO850" t="s">
        <v>118</v>
      </c>
      <c r="AP850">
        <v>141</v>
      </c>
      <c r="AQ850">
        <v>120</v>
      </c>
      <c r="AR850">
        <v>1536</v>
      </c>
      <c r="AZ850">
        <v>1200</v>
      </c>
      <c r="BA850">
        <v>1</v>
      </c>
      <c r="BB850" t="str">
        <f t="shared" si="42"/>
        <v xml:space="preserve">N690LS  </v>
      </c>
      <c r="BC850">
        <v>1</v>
      </c>
      <c r="BE850">
        <v>0</v>
      </c>
      <c r="BF850">
        <v>0</v>
      </c>
      <c r="BG850">
        <v>0</v>
      </c>
      <c r="BH850">
        <v>14750</v>
      </c>
      <c r="BI850">
        <v>1</v>
      </c>
      <c r="BJ850">
        <v>1</v>
      </c>
      <c r="BK850">
        <v>1</v>
      </c>
      <c r="BL850">
        <v>0</v>
      </c>
      <c r="BO850">
        <v>0</v>
      </c>
      <c r="BP850">
        <v>0</v>
      </c>
      <c r="BW850" t="str">
        <f>"13:57:32.711"</f>
        <v>13:57:32.711</v>
      </c>
      <c r="CJ850">
        <v>0</v>
      </c>
      <c r="CK850">
        <v>2</v>
      </c>
      <c r="CL850">
        <v>0</v>
      </c>
      <c r="CM850">
        <v>2</v>
      </c>
      <c r="CN850">
        <v>0</v>
      </c>
      <c r="CO850">
        <v>6</v>
      </c>
      <c r="CP850" t="s">
        <v>119</v>
      </c>
      <c r="CQ850">
        <v>209</v>
      </c>
      <c r="CR850">
        <v>3</v>
      </c>
      <c r="CW850">
        <v>7241459</v>
      </c>
      <c r="CY850">
        <v>1</v>
      </c>
      <c r="CZ850">
        <v>0</v>
      </c>
      <c r="DA850">
        <v>1</v>
      </c>
      <c r="DB850">
        <v>0</v>
      </c>
      <c r="DC850">
        <v>0</v>
      </c>
      <c r="DD850">
        <v>1</v>
      </c>
      <c r="DE850">
        <v>0</v>
      </c>
      <c r="DF850">
        <v>0</v>
      </c>
      <c r="DG850">
        <v>0</v>
      </c>
      <c r="DH850">
        <v>0</v>
      </c>
      <c r="DI850">
        <v>0</v>
      </c>
    </row>
    <row r="851" spans="1:113" x14ac:dyDescent="0.3">
      <c r="A851" t="str">
        <f>"09/28/2021 13:57:33.964"</f>
        <v>09/28/2021 13:57:33.964</v>
      </c>
      <c r="C851" t="str">
        <f t="shared" si="41"/>
        <v>FFDFD3C0</v>
      </c>
      <c r="D851" t="s">
        <v>113</v>
      </c>
      <c r="E851">
        <v>7</v>
      </c>
      <c r="H851">
        <v>170</v>
      </c>
      <c r="I851" t="s">
        <v>114</v>
      </c>
      <c r="J851" t="s">
        <v>115</v>
      </c>
      <c r="K851">
        <v>0</v>
      </c>
      <c r="L851">
        <v>3</v>
      </c>
      <c r="M851">
        <v>0</v>
      </c>
      <c r="N851">
        <v>2</v>
      </c>
      <c r="O851">
        <v>1</v>
      </c>
      <c r="P851">
        <v>0</v>
      </c>
      <c r="Q851">
        <v>0</v>
      </c>
      <c r="S851" t="str">
        <f>"13:57:33.766"</f>
        <v>13:57:33.766</v>
      </c>
      <c r="T851" t="str">
        <f>"13:57:33.266"</f>
        <v>13:57:33.266</v>
      </c>
      <c r="U851" t="str">
        <f t="shared" si="43"/>
        <v>A92BC1</v>
      </c>
      <c r="V851">
        <v>0</v>
      </c>
      <c r="W851">
        <v>0</v>
      </c>
      <c r="X851">
        <v>2</v>
      </c>
      <c r="Z851">
        <v>0</v>
      </c>
      <c r="AA851">
        <v>9</v>
      </c>
      <c r="AB851">
        <v>3</v>
      </c>
      <c r="AC851">
        <v>0</v>
      </c>
      <c r="AD851">
        <v>10</v>
      </c>
      <c r="AE851">
        <v>0</v>
      </c>
      <c r="AF851">
        <v>3</v>
      </c>
      <c r="AG851">
        <v>2</v>
      </c>
      <c r="AH851">
        <v>0</v>
      </c>
      <c r="AI851" t="s">
        <v>952</v>
      </c>
      <c r="AJ851">
        <v>45.836784999999999</v>
      </c>
      <c r="AK851" t="s">
        <v>953</v>
      </c>
      <c r="AL851">
        <v>-89.192762000000002</v>
      </c>
      <c r="AM851">
        <v>100</v>
      </c>
      <c r="AN851">
        <v>14300</v>
      </c>
      <c r="AO851" t="s">
        <v>118</v>
      </c>
      <c r="AP851">
        <v>141</v>
      </c>
      <c r="AQ851">
        <v>120</v>
      </c>
      <c r="AR851">
        <v>1536</v>
      </c>
      <c r="AZ851">
        <v>1200</v>
      </c>
      <c r="BA851">
        <v>1</v>
      </c>
      <c r="BB851" t="str">
        <f t="shared" si="42"/>
        <v xml:space="preserve">N690LS  </v>
      </c>
      <c r="BC851">
        <v>1</v>
      </c>
      <c r="BE851">
        <v>0</v>
      </c>
      <c r="BF851">
        <v>0</v>
      </c>
      <c r="BG851">
        <v>0</v>
      </c>
      <c r="BH851">
        <v>14775</v>
      </c>
      <c r="BI851">
        <v>1</v>
      </c>
      <c r="BJ851">
        <v>1</v>
      </c>
      <c r="BK851">
        <v>1</v>
      </c>
      <c r="BL851">
        <v>0</v>
      </c>
      <c r="BO851">
        <v>0</v>
      </c>
      <c r="BP851">
        <v>0</v>
      </c>
      <c r="BW851" t="str">
        <f>"13:57:33.767"</f>
        <v>13:57:33.767</v>
      </c>
      <c r="CJ851">
        <v>0</v>
      </c>
      <c r="CK851">
        <v>2</v>
      </c>
      <c r="CL851">
        <v>0</v>
      </c>
      <c r="CM851">
        <v>2</v>
      </c>
      <c r="CN851">
        <v>0</v>
      </c>
      <c r="CO851">
        <v>6</v>
      </c>
      <c r="CP851" t="s">
        <v>119</v>
      </c>
      <c r="CQ851">
        <v>209</v>
      </c>
      <c r="CR851">
        <v>3</v>
      </c>
      <c r="CW851">
        <v>7241771</v>
      </c>
      <c r="CY851">
        <v>1</v>
      </c>
      <c r="CZ851">
        <v>0</v>
      </c>
      <c r="DA851">
        <v>0</v>
      </c>
      <c r="DB851">
        <v>0</v>
      </c>
      <c r="DC851">
        <v>0</v>
      </c>
      <c r="DD851">
        <v>1</v>
      </c>
      <c r="DE851">
        <v>0</v>
      </c>
      <c r="DF851">
        <v>0</v>
      </c>
      <c r="DG851">
        <v>0</v>
      </c>
      <c r="DH851">
        <v>0</v>
      </c>
      <c r="DI851">
        <v>0</v>
      </c>
    </row>
    <row r="852" spans="1:113" x14ac:dyDescent="0.3">
      <c r="A852" t="str">
        <f>"09/28/2021 13:57:33.979"</f>
        <v>09/28/2021 13:57:33.979</v>
      </c>
      <c r="C852" t="str">
        <f t="shared" si="41"/>
        <v>FFDFD3C0</v>
      </c>
      <c r="D852" t="s">
        <v>120</v>
      </c>
      <c r="E852">
        <v>12</v>
      </c>
      <c r="F852">
        <v>1012</v>
      </c>
      <c r="G852" t="s">
        <v>114</v>
      </c>
      <c r="J852" t="s">
        <v>121</v>
      </c>
      <c r="K852">
        <v>0</v>
      </c>
      <c r="L852">
        <v>3</v>
      </c>
      <c r="M852">
        <v>0</v>
      </c>
      <c r="N852">
        <v>2</v>
      </c>
      <c r="O852">
        <v>1</v>
      </c>
      <c r="P852">
        <v>0</v>
      </c>
      <c r="Q852">
        <v>0</v>
      </c>
      <c r="S852" t="str">
        <f>"13:57:33.766"</f>
        <v>13:57:33.766</v>
      </c>
      <c r="T852" t="str">
        <f>"13:57:33.266"</f>
        <v>13:57:33.266</v>
      </c>
      <c r="U852" t="str">
        <f t="shared" si="43"/>
        <v>A92BC1</v>
      </c>
      <c r="V852">
        <v>0</v>
      </c>
      <c r="W852">
        <v>0</v>
      </c>
      <c r="X852">
        <v>2</v>
      </c>
      <c r="Z852">
        <v>0</v>
      </c>
      <c r="AA852">
        <v>9</v>
      </c>
      <c r="AB852">
        <v>3</v>
      </c>
      <c r="AC852">
        <v>0</v>
      </c>
      <c r="AD852">
        <v>10</v>
      </c>
      <c r="AE852">
        <v>0</v>
      </c>
      <c r="AF852">
        <v>3</v>
      </c>
      <c r="AG852">
        <v>2</v>
      </c>
      <c r="AH852">
        <v>0</v>
      </c>
      <c r="AI852" t="s">
        <v>952</v>
      </c>
      <c r="AJ852">
        <v>45.836784999999999</v>
      </c>
      <c r="AK852" t="s">
        <v>953</v>
      </c>
      <c r="AL852">
        <v>-89.192762000000002</v>
      </c>
      <c r="AM852">
        <v>100</v>
      </c>
      <c r="AN852">
        <v>14300</v>
      </c>
      <c r="AO852" t="s">
        <v>118</v>
      </c>
      <c r="AP852">
        <v>141</v>
      </c>
      <c r="AQ852">
        <v>120</v>
      </c>
      <c r="AR852">
        <v>1536</v>
      </c>
      <c r="AZ852">
        <v>1200</v>
      </c>
      <c r="BA852">
        <v>1</v>
      </c>
      <c r="BB852" t="str">
        <f t="shared" si="42"/>
        <v xml:space="preserve">N690LS  </v>
      </c>
      <c r="BC852">
        <v>1</v>
      </c>
      <c r="BE852">
        <v>0</v>
      </c>
      <c r="BF852">
        <v>0</v>
      </c>
      <c r="BG852">
        <v>0</v>
      </c>
      <c r="BH852">
        <v>14775</v>
      </c>
      <c r="BI852">
        <v>1</v>
      </c>
      <c r="BJ852">
        <v>1</v>
      </c>
      <c r="BK852">
        <v>1</v>
      </c>
      <c r="BL852">
        <v>0</v>
      </c>
      <c r="BO852">
        <v>0</v>
      </c>
      <c r="BP852">
        <v>0</v>
      </c>
      <c r="BW852" t="str">
        <f>"13:57:33.767"</f>
        <v>13:57:33.767</v>
      </c>
      <c r="CJ852">
        <v>0</v>
      </c>
      <c r="CK852">
        <v>2</v>
      </c>
      <c r="CL852">
        <v>0</v>
      </c>
      <c r="CM852">
        <v>2</v>
      </c>
      <c r="CN852">
        <v>0</v>
      </c>
      <c r="CO852">
        <v>6</v>
      </c>
      <c r="CP852" t="s">
        <v>119</v>
      </c>
      <c r="CQ852">
        <v>209</v>
      </c>
      <c r="CR852">
        <v>3</v>
      </c>
      <c r="CW852">
        <v>7241771</v>
      </c>
      <c r="CY852">
        <v>1</v>
      </c>
      <c r="CZ852">
        <v>0</v>
      </c>
      <c r="DA852">
        <v>1</v>
      </c>
      <c r="DB852">
        <v>0</v>
      </c>
      <c r="DC852">
        <v>0</v>
      </c>
      <c r="DD852">
        <v>1</v>
      </c>
      <c r="DE852">
        <v>0</v>
      </c>
      <c r="DF852">
        <v>0</v>
      </c>
      <c r="DG852">
        <v>0</v>
      </c>
      <c r="DH852">
        <v>0</v>
      </c>
      <c r="DI852">
        <v>0</v>
      </c>
    </row>
    <row r="853" spans="1:113" x14ac:dyDescent="0.3">
      <c r="A853" t="str">
        <f>"09/28/2021 13:57:34.902"</f>
        <v>09/28/2021 13:57:34.902</v>
      </c>
      <c r="C853" t="str">
        <f t="shared" si="41"/>
        <v>FFDFD3C0</v>
      </c>
      <c r="D853" t="s">
        <v>113</v>
      </c>
      <c r="E853">
        <v>7</v>
      </c>
      <c r="H853">
        <v>170</v>
      </c>
      <c r="I853" t="s">
        <v>114</v>
      </c>
      <c r="J853" t="s">
        <v>115</v>
      </c>
      <c r="K853">
        <v>0</v>
      </c>
      <c r="L853">
        <v>3</v>
      </c>
      <c r="M853">
        <v>0</v>
      </c>
      <c r="N853">
        <v>2</v>
      </c>
      <c r="O853">
        <v>1</v>
      </c>
      <c r="P853">
        <v>0</v>
      </c>
      <c r="Q853">
        <v>0</v>
      </c>
      <c r="S853" t="str">
        <f>"13:57:34.703"</f>
        <v>13:57:34.703</v>
      </c>
      <c r="T853" t="str">
        <f>"13:57:34.303"</f>
        <v>13:57:34.303</v>
      </c>
      <c r="U853" t="str">
        <f t="shared" si="43"/>
        <v>A92BC1</v>
      </c>
      <c r="V853">
        <v>0</v>
      </c>
      <c r="W853">
        <v>0</v>
      </c>
      <c r="X853">
        <v>2</v>
      </c>
      <c r="Z853">
        <v>0</v>
      </c>
      <c r="AA853">
        <v>9</v>
      </c>
      <c r="AB853">
        <v>3</v>
      </c>
      <c r="AC853">
        <v>0</v>
      </c>
      <c r="AD853">
        <v>10</v>
      </c>
      <c r="AE853">
        <v>0</v>
      </c>
      <c r="AF853">
        <v>3</v>
      </c>
      <c r="AG853">
        <v>2</v>
      </c>
      <c r="AH853">
        <v>0</v>
      </c>
      <c r="AI853" t="s">
        <v>954</v>
      </c>
      <c r="AJ853">
        <v>45.837277999999998</v>
      </c>
      <c r="AK853" t="s">
        <v>955</v>
      </c>
      <c r="AL853">
        <v>-89.191946999999999</v>
      </c>
      <c r="AM853">
        <v>100</v>
      </c>
      <c r="AN853">
        <v>14300</v>
      </c>
      <c r="AO853" t="s">
        <v>118</v>
      </c>
      <c r="AP853">
        <v>141</v>
      </c>
      <c r="AQ853">
        <v>120</v>
      </c>
      <c r="AR853">
        <v>1536</v>
      </c>
      <c r="AZ853">
        <v>1200</v>
      </c>
      <c r="BA853">
        <v>1</v>
      </c>
      <c r="BB853" t="str">
        <f t="shared" si="42"/>
        <v xml:space="preserve">N690LS  </v>
      </c>
      <c r="BC853">
        <v>1</v>
      </c>
      <c r="BE853">
        <v>0</v>
      </c>
      <c r="BF853">
        <v>0</v>
      </c>
      <c r="BG853">
        <v>0</v>
      </c>
      <c r="BH853">
        <v>14800</v>
      </c>
      <c r="BI853">
        <v>1</v>
      </c>
      <c r="BJ853">
        <v>1</v>
      </c>
      <c r="BK853">
        <v>1</v>
      </c>
      <c r="BL853">
        <v>0</v>
      </c>
      <c r="BO853">
        <v>0</v>
      </c>
      <c r="BP853">
        <v>0</v>
      </c>
      <c r="BW853" t="str">
        <f>"13:57:34.708"</f>
        <v>13:57:34.708</v>
      </c>
      <c r="CJ853">
        <v>0</v>
      </c>
      <c r="CK853">
        <v>2</v>
      </c>
      <c r="CL853">
        <v>0</v>
      </c>
      <c r="CM853">
        <v>2</v>
      </c>
      <c r="CN853">
        <v>0</v>
      </c>
      <c r="CO853">
        <v>6</v>
      </c>
      <c r="CP853" t="s">
        <v>119</v>
      </c>
      <c r="CQ853">
        <v>209</v>
      </c>
      <c r="CR853">
        <v>3</v>
      </c>
      <c r="CW853">
        <v>7242041</v>
      </c>
      <c r="CY853">
        <v>1</v>
      </c>
      <c r="CZ853">
        <v>0</v>
      </c>
      <c r="DA853">
        <v>0</v>
      </c>
      <c r="DB853">
        <v>0</v>
      </c>
      <c r="DC853">
        <v>0</v>
      </c>
      <c r="DD853">
        <v>1</v>
      </c>
      <c r="DE853">
        <v>0</v>
      </c>
      <c r="DF853">
        <v>0</v>
      </c>
      <c r="DG853">
        <v>0</v>
      </c>
      <c r="DH853">
        <v>0</v>
      </c>
      <c r="DI853">
        <v>0</v>
      </c>
    </row>
    <row r="854" spans="1:113" x14ac:dyDescent="0.3">
      <c r="A854" t="str">
        <f>"09/28/2021 13:57:34.934"</f>
        <v>09/28/2021 13:57:34.934</v>
      </c>
      <c r="C854" t="str">
        <f t="shared" si="41"/>
        <v>FFDFD3C0</v>
      </c>
      <c r="D854" t="s">
        <v>120</v>
      </c>
      <c r="E854">
        <v>12</v>
      </c>
      <c r="F854">
        <v>1012</v>
      </c>
      <c r="G854" t="s">
        <v>114</v>
      </c>
      <c r="J854" t="s">
        <v>121</v>
      </c>
      <c r="K854">
        <v>0</v>
      </c>
      <c r="L854">
        <v>3</v>
      </c>
      <c r="M854">
        <v>0</v>
      </c>
      <c r="N854">
        <v>2</v>
      </c>
      <c r="O854">
        <v>1</v>
      </c>
      <c r="P854">
        <v>0</v>
      </c>
      <c r="Q854">
        <v>0</v>
      </c>
      <c r="S854" t="str">
        <f>"13:57:34.703"</f>
        <v>13:57:34.703</v>
      </c>
      <c r="T854" t="str">
        <f>"13:57:34.303"</f>
        <v>13:57:34.303</v>
      </c>
      <c r="U854" t="str">
        <f t="shared" si="43"/>
        <v>A92BC1</v>
      </c>
      <c r="V854">
        <v>0</v>
      </c>
      <c r="W854">
        <v>0</v>
      </c>
      <c r="X854">
        <v>2</v>
      </c>
      <c r="Z854">
        <v>0</v>
      </c>
      <c r="AA854">
        <v>9</v>
      </c>
      <c r="AB854">
        <v>3</v>
      </c>
      <c r="AC854">
        <v>0</v>
      </c>
      <c r="AD854">
        <v>10</v>
      </c>
      <c r="AE854">
        <v>0</v>
      </c>
      <c r="AF854">
        <v>3</v>
      </c>
      <c r="AG854">
        <v>2</v>
      </c>
      <c r="AH854">
        <v>0</v>
      </c>
      <c r="AI854" t="s">
        <v>954</v>
      </c>
      <c r="AJ854">
        <v>45.837277999999998</v>
      </c>
      <c r="AK854" t="s">
        <v>955</v>
      </c>
      <c r="AL854">
        <v>-89.191946999999999</v>
      </c>
      <c r="AM854">
        <v>100</v>
      </c>
      <c r="AN854">
        <v>14300</v>
      </c>
      <c r="AO854" t="s">
        <v>118</v>
      </c>
      <c r="AP854">
        <v>141</v>
      </c>
      <c r="AQ854">
        <v>120</v>
      </c>
      <c r="AR854">
        <v>1536</v>
      </c>
      <c r="AZ854">
        <v>1200</v>
      </c>
      <c r="BA854">
        <v>1</v>
      </c>
      <c r="BB854" t="str">
        <f t="shared" si="42"/>
        <v xml:space="preserve">N690LS  </v>
      </c>
      <c r="BC854">
        <v>1</v>
      </c>
      <c r="BE854">
        <v>0</v>
      </c>
      <c r="BF854">
        <v>0</v>
      </c>
      <c r="BG854">
        <v>0</v>
      </c>
      <c r="BH854">
        <v>14800</v>
      </c>
      <c r="BI854">
        <v>1</v>
      </c>
      <c r="BJ854">
        <v>1</v>
      </c>
      <c r="BK854">
        <v>1</v>
      </c>
      <c r="BL854">
        <v>0</v>
      </c>
      <c r="BO854">
        <v>0</v>
      </c>
      <c r="BP854">
        <v>0</v>
      </c>
      <c r="BW854" t="str">
        <f>"13:57:34.708"</f>
        <v>13:57:34.708</v>
      </c>
      <c r="CJ854">
        <v>0</v>
      </c>
      <c r="CK854">
        <v>2</v>
      </c>
      <c r="CL854">
        <v>0</v>
      </c>
      <c r="CM854">
        <v>2</v>
      </c>
      <c r="CN854">
        <v>0</v>
      </c>
      <c r="CO854">
        <v>6</v>
      </c>
      <c r="CP854" t="s">
        <v>119</v>
      </c>
      <c r="CQ854">
        <v>209</v>
      </c>
      <c r="CR854">
        <v>3</v>
      </c>
      <c r="CW854">
        <v>7242041</v>
      </c>
      <c r="CY854">
        <v>1</v>
      </c>
      <c r="CZ854">
        <v>0</v>
      </c>
      <c r="DA854">
        <v>1</v>
      </c>
      <c r="DB854">
        <v>0</v>
      </c>
      <c r="DC854">
        <v>0</v>
      </c>
      <c r="DD854">
        <v>1</v>
      </c>
      <c r="DE854">
        <v>0</v>
      </c>
      <c r="DF854">
        <v>0</v>
      </c>
      <c r="DG854">
        <v>0</v>
      </c>
      <c r="DH854">
        <v>0</v>
      </c>
      <c r="DI854">
        <v>0</v>
      </c>
    </row>
    <row r="855" spans="1:113" x14ac:dyDescent="0.3">
      <c r="A855" t="str">
        <f>"09/28/2021 13:57:35.981"</f>
        <v>09/28/2021 13:57:35.981</v>
      </c>
      <c r="C855" t="str">
        <f t="shared" si="41"/>
        <v>FFDFD3C0</v>
      </c>
      <c r="D855" t="s">
        <v>113</v>
      </c>
      <c r="E855">
        <v>7</v>
      </c>
      <c r="H855">
        <v>170</v>
      </c>
      <c r="I855" t="s">
        <v>114</v>
      </c>
      <c r="J855" t="s">
        <v>115</v>
      </c>
      <c r="K855">
        <v>0</v>
      </c>
      <c r="L855">
        <v>3</v>
      </c>
      <c r="M855">
        <v>0</v>
      </c>
      <c r="N855">
        <v>2</v>
      </c>
      <c r="O855">
        <v>1</v>
      </c>
      <c r="P855">
        <v>0</v>
      </c>
      <c r="Q855">
        <v>0</v>
      </c>
      <c r="S855" t="str">
        <f>"13:57:35.680"</f>
        <v>13:57:35.680</v>
      </c>
      <c r="T855" t="str">
        <f>"13:57:35.180"</f>
        <v>13:57:35.180</v>
      </c>
      <c r="U855" t="str">
        <f t="shared" si="43"/>
        <v>A92BC1</v>
      </c>
      <c r="V855">
        <v>0</v>
      </c>
      <c r="W855">
        <v>0</v>
      </c>
      <c r="X855">
        <v>2</v>
      </c>
      <c r="Z855">
        <v>0</v>
      </c>
      <c r="AA855">
        <v>9</v>
      </c>
      <c r="AB855">
        <v>3</v>
      </c>
      <c r="AC855">
        <v>0</v>
      </c>
      <c r="AD855">
        <v>10</v>
      </c>
      <c r="AE855">
        <v>0</v>
      </c>
      <c r="AF855">
        <v>3</v>
      </c>
      <c r="AG855">
        <v>2</v>
      </c>
      <c r="AH855">
        <v>0</v>
      </c>
      <c r="AI855" t="s">
        <v>956</v>
      </c>
      <c r="AJ855">
        <v>45.837857999999997</v>
      </c>
      <c r="AK855" t="s">
        <v>957</v>
      </c>
      <c r="AL855">
        <v>-89.191002999999995</v>
      </c>
      <c r="AM855">
        <v>100</v>
      </c>
      <c r="AN855">
        <v>14300</v>
      </c>
      <c r="AO855" t="s">
        <v>118</v>
      </c>
      <c r="AP855">
        <v>141</v>
      </c>
      <c r="AQ855">
        <v>120</v>
      </c>
      <c r="AR855">
        <v>1536</v>
      </c>
      <c r="AZ855">
        <v>1200</v>
      </c>
      <c r="BA855">
        <v>1</v>
      </c>
      <c r="BB855" t="str">
        <f t="shared" si="42"/>
        <v xml:space="preserve">N690LS  </v>
      </c>
      <c r="BC855">
        <v>1</v>
      </c>
      <c r="BE855">
        <v>0</v>
      </c>
      <c r="BF855">
        <v>0</v>
      </c>
      <c r="BG855">
        <v>0</v>
      </c>
      <c r="BH855">
        <v>14825</v>
      </c>
      <c r="BI855">
        <v>1</v>
      </c>
      <c r="BJ855">
        <v>1</v>
      </c>
      <c r="BK855">
        <v>1</v>
      </c>
      <c r="BL855">
        <v>0</v>
      </c>
      <c r="BO855">
        <v>0</v>
      </c>
      <c r="BP855">
        <v>0</v>
      </c>
      <c r="BW855" t="str">
        <f>"13:57:35.684"</f>
        <v>13:57:35.684</v>
      </c>
      <c r="CJ855">
        <v>0</v>
      </c>
      <c r="CK855">
        <v>2</v>
      </c>
      <c r="CL855">
        <v>0</v>
      </c>
      <c r="CM855">
        <v>2</v>
      </c>
      <c r="CN855">
        <v>0</v>
      </c>
      <c r="CO855">
        <v>7</v>
      </c>
      <c r="CP855" t="s">
        <v>119</v>
      </c>
      <c r="CQ855">
        <v>209</v>
      </c>
      <c r="CR855">
        <v>3</v>
      </c>
      <c r="CW855">
        <v>7242315</v>
      </c>
      <c r="CY855">
        <v>1</v>
      </c>
      <c r="CZ855">
        <v>0</v>
      </c>
      <c r="DA855">
        <v>0</v>
      </c>
      <c r="DB855">
        <v>0</v>
      </c>
      <c r="DC855">
        <v>0</v>
      </c>
      <c r="DD855">
        <v>1</v>
      </c>
      <c r="DE855">
        <v>0</v>
      </c>
      <c r="DF855">
        <v>0</v>
      </c>
      <c r="DG855">
        <v>0</v>
      </c>
      <c r="DH855">
        <v>0</v>
      </c>
      <c r="DI855">
        <v>0</v>
      </c>
    </row>
    <row r="856" spans="1:113" x14ac:dyDescent="0.3">
      <c r="A856" t="str">
        <f>"09/28/2021 13:57:36.012"</f>
        <v>09/28/2021 13:57:36.012</v>
      </c>
      <c r="C856" t="str">
        <f t="shared" si="41"/>
        <v>FFDFD3C0</v>
      </c>
      <c r="D856" t="s">
        <v>120</v>
      </c>
      <c r="E856">
        <v>12</v>
      </c>
      <c r="F856">
        <v>1012</v>
      </c>
      <c r="G856" t="s">
        <v>114</v>
      </c>
      <c r="J856" t="s">
        <v>121</v>
      </c>
      <c r="K856">
        <v>0</v>
      </c>
      <c r="L856">
        <v>3</v>
      </c>
      <c r="M856">
        <v>0</v>
      </c>
      <c r="N856">
        <v>2</v>
      </c>
      <c r="O856">
        <v>1</v>
      </c>
      <c r="P856">
        <v>0</v>
      </c>
      <c r="Q856">
        <v>0</v>
      </c>
      <c r="S856" t="str">
        <f>"13:57:35.680"</f>
        <v>13:57:35.680</v>
      </c>
      <c r="T856" t="str">
        <f>"13:57:35.180"</f>
        <v>13:57:35.180</v>
      </c>
      <c r="U856" t="str">
        <f t="shared" si="43"/>
        <v>A92BC1</v>
      </c>
      <c r="V856">
        <v>0</v>
      </c>
      <c r="W856">
        <v>0</v>
      </c>
      <c r="X856">
        <v>2</v>
      </c>
      <c r="Z856">
        <v>0</v>
      </c>
      <c r="AA856">
        <v>9</v>
      </c>
      <c r="AB856">
        <v>3</v>
      </c>
      <c r="AC856">
        <v>0</v>
      </c>
      <c r="AD856">
        <v>10</v>
      </c>
      <c r="AE856">
        <v>0</v>
      </c>
      <c r="AF856">
        <v>3</v>
      </c>
      <c r="AG856">
        <v>2</v>
      </c>
      <c r="AH856">
        <v>0</v>
      </c>
      <c r="AI856" t="s">
        <v>956</v>
      </c>
      <c r="AJ856">
        <v>45.837857999999997</v>
      </c>
      <c r="AK856" t="s">
        <v>957</v>
      </c>
      <c r="AL856">
        <v>-89.191002999999995</v>
      </c>
      <c r="AM856">
        <v>100</v>
      </c>
      <c r="AN856">
        <v>14300</v>
      </c>
      <c r="AO856" t="s">
        <v>118</v>
      </c>
      <c r="AP856">
        <v>141</v>
      </c>
      <c r="AQ856">
        <v>120</v>
      </c>
      <c r="AR856">
        <v>1536</v>
      </c>
      <c r="AZ856">
        <v>1200</v>
      </c>
      <c r="BA856">
        <v>1</v>
      </c>
      <c r="BB856" t="str">
        <f t="shared" si="42"/>
        <v xml:space="preserve">N690LS  </v>
      </c>
      <c r="BC856">
        <v>1</v>
      </c>
      <c r="BE856">
        <v>0</v>
      </c>
      <c r="BF856">
        <v>0</v>
      </c>
      <c r="BG856">
        <v>0</v>
      </c>
      <c r="BH856">
        <v>14825</v>
      </c>
      <c r="BI856">
        <v>1</v>
      </c>
      <c r="BJ856">
        <v>1</v>
      </c>
      <c r="BK856">
        <v>1</v>
      </c>
      <c r="BL856">
        <v>0</v>
      </c>
      <c r="BO856">
        <v>0</v>
      </c>
      <c r="BP856">
        <v>0</v>
      </c>
      <c r="BW856" t="str">
        <f>"13:57:35.684"</f>
        <v>13:57:35.684</v>
      </c>
      <c r="CJ856">
        <v>0</v>
      </c>
      <c r="CK856">
        <v>2</v>
      </c>
      <c r="CL856">
        <v>0</v>
      </c>
      <c r="CM856">
        <v>2</v>
      </c>
      <c r="CN856">
        <v>0</v>
      </c>
      <c r="CO856">
        <v>7</v>
      </c>
      <c r="CP856" t="s">
        <v>119</v>
      </c>
      <c r="CQ856">
        <v>209</v>
      </c>
      <c r="CR856">
        <v>3</v>
      </c>
      <c r="CW856">
        <v>7242315</v>
      </c>
      <c r="CY856">
        <v>1</v>
      </c>
      <c r="CZ856">
        <v>0</v>
      </c>
      <c r="DA856">
        <v>1</v>
      </c>
      <c r="DB856">
        <v>0</v>
      </c>
      <c r="DC856">
        <v>0</v>
      </c>
      <c r="DD856">
        <v>1</v>
      </c>
      <c r="DE856">
        <v>0</v>
      </c>
      <c r="DF856">
        <v>0</v>
      </c>
      <c r="DG856">
        <v>0</v>
      </c>
      <c r="DH856">
        <v>0</v>
      </c>
      <c r="DI856">
        <v>0</v>
      </c>
    </row>
    <row r="857" spans="1:113" x14ac:dyDescent="0.3">
      <c r="A857" t="str">
        <f>"09/28/2021 13:57:36.917"</f>
        <v>09/28/2021 13:57:36.917</v>
      </c>
      <c r="C857" t="str">
        <f t="shared" si="41"/>
        <v>FFDFD3C0</v>
      </c>
      <c r="D857" t="s">
        <v>120</v>
      </c>
      <c r="E857">
        <v>12</v>
      </c>
      <c r="F857">
        <v>1012</v>
      </c>
      <c r="G857" t="s">
        <v>114</v>
      </c>
      <c r="J857" t="s">
        <v>121</v>
      </c>
      <c r="K857">
        <v>0</v>
      </c>
      <c r="L857">
        <v>3</v>
      </c>
      <c r="M857">
        <v>0</v>
      </c>
      <c r="N857">
        <v>2</v>
      </c>
      <c r="O857">
        <v>1</v>
      </c>
      <c r="P857">
        <v>0</v>
      </c>
      <c r="Q857">
        <v>0</v>
      </c>
      <c r="S857" t="str">
        <f>"13:57:36.609"</f>
        <v>13:57:36.609</v>
      </c>
      <c r="T857" t="str">
        <f>"13:57:36.209"</f>
        <v>13:57:36.209</v>
      </c>
      <c r="U857" t="str">
        <f t="shared" si="43"/>
        <v>A92BC1</v>
      </c>
      <c r="V857">
        <v>0</v>
      </c>
      <c r="W857">
        <v>0</v>
      </c>
      <c r="X857">
        <v>2</v>
      </c>
      <c r="Z857">
        <v>0</v>
      </c>
      <c r="AA857">
        <v>9</v>
      </c>
      <c r="AB857">
        <v>3</v>
      </c>
      <c r="AC857">
        <v>0</v>
      </c>
      <c r="AD857">
        <v>10</v>
      </c>
      <c r="AE857">
        <v>0</v>
      </c>
      <c r="AF857">
        <v>3</v>
      </c>
      <c r="AG857">
        <v>2</v>
      </c>
      <c r="AH857">
        <v>0</v>
      </c>
      <c r="AI857" t="s">
        <v>958</v>
      </c>
      <c r="AJ857">
        <v>45.838351000000003</v>
      </c>
      <c r="AK857" t="s">
        <v>959</v>
      </c>
      <c r="AL857">
        <v>-89.190166000000005</v>
      </c>
      <c r="AM857">
        <v>100</v>
      </c>
      <c r="AN857">
        <v>14400</v>
      </c>
      <c r="AO857" t="s">
        <v>118</v>
      </c>
      <c r="AP857">
        <v>141</v>
      </c>
      <c r="AQ857">
        <v>119</v>
      </c>
      <c r="AR857">
        <v>1536</v>
      </c>
      <c r="AZ857">
        <v>1200</v>
      </c>
      <c r="BA857">
        <v>1</v>
      </c>
      <c r="BB857" t="str">
        <f t="shared" si="42"/>
        <v xml:space="preserve">N690LS  </v>
      </c>
      <c r="BC857">
        <v>1</v>
      </c>
      <c r="BE857">
        <v>0</v>
      </c>
      <c r="BF857">
        <v>0</v>
      </c>
      <c r="BG857">
        <v>0</v>
      </c>
      <c r="BH857">
        <v>14850</v>
      </c>
      <c r="BI857">
        <v>1</v>
      </c>
      <c r="BJ857">
        <v>1</v>
      </c>
      <c r="BK857">
        <v>1</v>
      </c>
      <c r="BL857">
        <v>0</v>
      </c>
      <c r="BO857">
        <v>0</v>
      </c>
      <c r="BP857">
        <v>0</v>
      </c>
      <c r="BW857" t="str">
        <f>"13:57:36.615"</f>
        <v>13:57:36.615</v>
      </c>
      <c r="CJ857">
        <v>0</v>
      </c>
      <c r="CK857">
        <v>2</v>
      </c>
      <c r="CL857">
        <v>0</v>
      </c>
      <c r="CM857">
        <v>2</v>
      </c>
      <c r="CN857">
        <v>0</v>
      </c>
      <c r="CO857">
        <v>7</v>
      </c>
      <c r="CP857" t="s">
        <v>119</v>
      </c>
      <c r="CQ857">
        <v>209</v>
      </c>
      <c r="CR857">
        <v>3</v>
      </c>
      <c r="CW857">
        <v>7242605</v>
      </c>
      <c r="CY857">
        <v>1</v>
      </c>
      <c r="CZ857">
        <v>0</v>
      </c>
      <c r="DA857">
        <v>0</v>
      </c>
      <c r="DB857">
        <v>0</v>
      </c>
      <c r="DC857">
        <v>0</v>
      </c>
      <c r="DD857">
        <v>1</v>
      </c>
      <c r="DE857">
        <v>0</v>
      </c>
      <c r="DF857">
        <v>0</v>
      </c>
      <c r="DG857">
        <v>0</v>
      </c>
      <c r="DH857">
        <v>0</v>
      </c>
      <c r="DI857">
        <v>0</v>
      </c>
    </row>
    <row r="858" spans="1:113" x14ac:dyDescent="0.3">
      <c r="A858" t="str">
        <f>"09/28/2021 13:57:36.917"</f>
        <v>09/28/2021 13:57:36.917</v>
      </c>
      <c r="C858" t="str">
        <f t="shared" si="41"/>
        <v>FFDFD3C0</v>
      </c>
      <c r="D858" t="s">
        <v>113</v>
      </c>
      <c r="E858">
        <v>7</v>
      </c>
      <c r="H858">
        <v>170</v>
      </c>
      <c r="I858" t="s">
        <v>114</v>
      </c>
      <c r="J858" t="s">
        <v>115</v>
      </c>
      <c r="K858">
        <v>0</v>
      </c>
      <c r="L858">
        <v>3</v>
      </c>
      <c r="M858">
        <v>0</v>
      </c>
      <c r="N858">
        <v>2</v>
      </c>
      <c r="O858">
        <v>1</v>
      </c>
      <c r="P858">
        <v>0</v>
      </c>
      <c r="Q858">
        <v>0</v>
      </c>
      <c r="S858" t="str">
        <f>"13:57:36.609"</f>
        <v>13:57:36.609</v>
      </c>
      <c r="T858" t="str">
        <f>"13:57:36.209"</f>
        <v>13:57:36.209</v>
      </c>
      <c r="U858" t="str">
        <f t="shared" si="43"/>
        <v>A92BC1</v>
      </c>
      <c r="V858">
        <v>0</v>
      </c>
      <c r="W858">
        <v>0</v>
      </c>
      <c r="X858">
        <v>2</v>
      </c>
      <c r="Z858">
        <v>0</v>
      </c>
      <c r="AA858">
        <v>9</v>
      </c>
      <c r="AB858">
        <v>3</v>
      </c>
      <c r="AC858">
        <v>0</v>
      </c>
      <c r="AD858">
        <v>10</v>
      </c>
      <c r="AE858">
        <v>0</v>
      </c>
      <c r="AF858">
        <v>3</v>
      </c>
      <c r="AG858">
        <v>2</v>
      </c>
      <c r="AH858">
        <v>0</v>
      </c>
      <c r="AI858" t="s">
        <v>958</v>
      </c>
      <c r="AJ858">
        <v>45.838351000000003</v>
      </c>
      <c r="AK858" t="s">
        <v>959</v>
      </c>
      <c r="AL858">
        <v>-89.190166000000005</v>
      </c>
      <c r="AM858">
        <v>100</v>
      </c>
      <c r="AN858">
        <v>14400</v>
      </c>
      <c r="AO858" t="s">
        <v>118</v>
      </c>
      <c r="AP858">
        <v>141</v>
      </c>
      <c r="AQ858">
        <v>119</v>
      </c>
      <c r="AR858">
        <v>1536</v>
      </c>
      <c r="AZ858">
        <v>1200</v>
      </c>
      <c r="BA858">
        <v>1</v>
      </c>
      <c r="BB858" t="str">
        <f t="shared" si="42"/>
        <v xml:space="preserve">N690LS  </v>
      </c>
      <c r="BC858">
        <v>1</v>
      </c>
      <c r="BE858">
        <v>0</v>
      </c>
      <c r="BF858">
        <v>0</v>
      </c>
      <c r="BG858">
        <v>0</v>
      </c>
      <c r="BH858">
        <v>14850</v>
      </c>
      <c r="BI858">
        <v>1</v>
      </c>
      <c r="BJ858">
        <v>1</v>
      </c>
      <c r="BK858">
        <v>1</v>
      </c>
      <c r="BL858">
        <v>0</v>
      </c>
      <c r="BO858">
        <v>0</v>
      </c>
      <c r="BP858">
        <v>0</v>
      </c>
      <c r="BW858" t="str">
        <f>"13:57:36.615"</f>
        <v>13:57:36.615</v>
      </c>
      <c r="CJ858">
        <v>0</v>
      </c>
      <c r="CK858">
        <v>2</v>
      </c>
      <c r="CL858">
        <v>0</v>
      </c>
      <c r="CM858">
        <v>2</v>
      </c>
      <c r="CN858">
        <v>0</v>
      </c>
      <c r="CO858">
        <v>7</v>
      </c>
      <c r="CP858" t="s">
        <v>119</v>
      </c>
      <c r="CQ858">
        <v>209</v>
      </c>
      <c r="CR858">
        <v>3</v>
      </c>
      <c r="CW858">
        <v>7242605</v>
      </c>
      <c r="CY858">
        <v>1</v>
      </c>
      <c r="CZ858">
        <v>0</v>
      </c>
      <c r="DA858">
        <v>1</v>
      </c>
      <c r="DB858">
        <v>0</v>
      </c>
      <c r="DC858">
        <v>0</v>
      </c>
      <c r="DD858">
        <v>1</v>
      </c>
      <c r="DE858">
        <v>0</v>
      </c>
      <c r="DF858">
        <v>0</v>
      </c>
      <c r="DG858">
        <v>0</v>
      </c>
      <c r="DH858">
        <v>0</v>
      </c>
      <c r="DI858">
        <v>0</v>
      </c>
    </row>
    <row r="859" spans="1:113" x14ac:dyDescent="0.3">
      <c r="A859" t="str">
        <f>"09/28/2021 13:57:38.011"</f>
        <v>09/28/2021 13:57:38.011</v>
      </c>
      <c r="C859" t="str">
        <f t="shared" si="41"/>
        <v>FFDFD3C0</v>
      </c>
      <c r="D859" t="s">
        <v>120</v>
      </c>
      <c r="E859">
        <v>12</v>
      </c>
      <c r="F859">
        <v>1012</v>
      </c>
      <c r="G859" t="s">
        <v>114</v>
      </c>
      <c r="J859" t="s">
        <v>121</v>
      </c>
      <c r="K859">
        <v>0</v>
      </c>
      <c r="L859">
        <v>3</v>
      </c>
      <c r="M859">
        <v>0</v>
      </c>
      <c r="N859">
        <v>2</v>
      </c>
      <c r="O859">
        <v>1</v>
      </c>
      <c r="P859">
        <v>0</v>
      </c>
      <c r="Q859">
        <v>0</v>
      </c>
      <c r="S859" t="str">
        <f>"13:57:37.781"</f>
        <v>13:57:37.781</v>
      </c>
      <c r="T859" t="str">
        <f>"13:57:37.281"</f>
        <v>13:57:37.281</v>
      </c>
      <c r="U859" t="str">
        <f t="shared" si="43"/>
        <v>A92BC1</v>
      </c>
      <c r="V859">
        <v>0</v>
      </c>
      <c r="W859">
        <v>0</v>
      </c>
      <c r="X859">
        <v>2</v>
      </c>
      <c r="Z859">
        <v>0</v>
      </c>
      <c r="AA859">
        <v>9</v>
      </c>
      <c r="AB859">
        <v>3</v>
      </c>
      <c r="AC859">
        <v>0</v>
      </c>
      <c r="AD859">
        <v>10</v>
      </c>
      <c r="AE859">
        <v>0</v>
      </c>
      <c r="AF859">
        <v>3</v>
      </c>
      <c r="AG859">
        <v>2</v>
      </c>
      <c r="AH859">
        <v>0</v>
      </c>
      <c r="AI859" t="s">
        <v>960</v>
      </c>
      <c r="AJ859">
        <v>45.838994999999997</v>
      </c>
      <c r="AK859" t="s">
        <v>961</v>
      </c>
      <c r="AL859">
        <v>-89.189093</v>
      </c>
      <c r="AM859">
        <v>100</v>
      </c>
      <c r="AN859">
        <v>14400</v>
      </c>
      <c r="AO859" t="s">
        <v>118</v>
      </c>
      <c r="AP859">
        <v>141</v>
      </c>
      <c r="AQ859">
        <v>119</v>
      </c>
      <c r="AR859">
        <v>1536</v>
      </c>
      <c r="AZ859">
        <v>1200</v>
      </c>
      <c r="BA859">
        <v>1</v>
      </c>
      <c r="BB859" t="str">
        <f t="shared" si="42"/>
        <v xml:space="preserve">N690LS  </v>
      </c>
      <c r="BC859">
        <v>1</v>
      </c>
      <c r="BE859">
        <v>0</v>
      </c>
      <c r="BF859">
        <v>0</v>
      </c>
      <c r="BG859">
        <v>0</v>
      </c>
      <c r="BH859">
        <v>14875</v>
      </c>
      <c r="BI859">
        <v>1</v>
      </c>
      <c r="BJ859">
        <v>1</v>
      </c>
      <c r="BK859">
        <v>1</v>
      </c>
      <c r="BL859">
        <v>0</v>
      </c>
      <c r="BO859">
        <v>0</v>
      </c>
      <c r="BP859">
        <v>0</v>
      </c>
      <c r="BW859" t="str">
        <f>"13:57:37.781"</f>
        <v>13:57:37.781</v>
      </c>
      <c r="CJ859">
        <v>0</v>
      </c>
      <c r="CK859">
        <v>2</v>
      </c>
      <c r="CL859">
        <v>0</v>
      </c>
      <c r="CM859">
        <v>2</v>
      </c>
      <c r="CN859">
        <v>0</v>
      </c>
      <c r="CO859">
        <v>6</v>
      </c>
      <c r="CP859" t="s">
        <v>119</v>
      </c>
      <c r="CQ859">
        <v>209</v>
      </c>
      <c r="CR859">
        <v>3</v>
      </c>
      <c r="CW859">
        <v>7242941</v>
      </c>
      <c r="CY859">
        <v>1</v>
      </c>
      <c r="CZ859">
        <v>0</v>
      </c>
      <c r="DA859">
        <v>0</v>
      </c>
      <c r="DB859">
        <v>0</v>
      </c>
      <c r="DC859">
        <v>0</v>
      </c>
      <c r="DD859">
        <v>1</v>
      </c>
      <c r="DE859">
        <v>0</v>
      </c>
      <c r="DF859">
        <v>0</v>
      </c>
      <c r="DG859">
        <v>0</v>
      </c>
      <c r="DH859">
        <v>0</v>
      </c>
      <c r="DI859">
        <v>0</v>
      </c>
    </row>
    <row r="860" spans="1:113" x14ac:dyDescent="0.3">
      <c r="A860" t="str">
        <f>"09/28/2021 13:57:38.011"</f>
        <v>09/28/2021 13:57:38.011</v>
      </c>
      <c r="C860" t="str">
        <f t="shared" si="41"/>
        <v>FFDFD3C0</v>
      </c>
      <c r="D860" t="s">
        <v>113</v>
      </c>
      <c r="E860">
        <v>7</v>
      </c>
      <c r="H860">
        <v>170</v>
      </c>
      <c r="I860" t="s">
        <v>114</v>
      </c>
      <c r="J860" t="s">
        <v>115</v>
      </c>
      <c r="K860">
        <v>0</v>
      </c>
      <c r="L860">
        <v>3</v>
      </c>
      <c r="M860">
        <v>0</v>
      </c>
      <c r="N860">
        <v>2</v>
      </c>
      <c r="O860">
        <v>1</v>
      </c>
      <c r="P860">
        <v>0</v>
      </c>
      <c r="Q860">
        <v>0</v>
      </c>
      <c r="S860" t="str">
        <f>"13:57:37.781"</f>
        <v>13:57:37.781</v>
      </c>
      <c r="T860" t="str">
        <f>"13:57:37.281"</f>
        <v>13:57:37.281</v>
      </c>
      <c r="U860" t="str">
        <f t="shared" si="43"/>
        <v>A92BC1</v>
      </c>
      <c r="V860">
        <v>0</v>
      </c>
      <c r="W860">
        <v>0</v>
      </c>
      <c r="X860">
        <v>2</v>
      </c>
      <c r="Z860">
        <v>0</v>
      </c>
      <c r="AA860">
        <v>9</v>
      </c>
      <c r="AB860">
        <v>3</v>
      </c>
      <c r="AC860">
        <v>0</v>
      </c>
      <c r="AD860">
        <v>10</v>
      </c>
      <c r="AE860">
        <v>0</v>
      </c>
      <c r="AF860">
        <v>3</v>
      </c>
      <c r="AG860">
        <v>2</v>
      </c>
      <c r="AH860">
        <v>0</v>
      </c>
      <c r="AI860" t="s">
        <v>960</v>
      </c>
      <c r="AJ860">
        <v>45.838994999999997</v>
      </c>
      <c r="AK860" t="s">
        <v>961</v>
      </c>
      <c r="AL860">
        <v>-89.189093</v>
      </c>
      <c r="AM860">
        <v>100</v>
      </c>
      <c r="AN860">
        <v>14400</v>
      </c>
      <c r="AO860" t="s">
        <v>118</v>
      </c>
      <c r="AP860">
        <v>141</v>
      </c>
      <c r="AQ860">
        <v>119</v>
      </c>
      <c r="AR860">
        <v>1536</v>
      </c>
      <c r="AZ860">
        <v>1200</v>
      </c>
      <c r="BA860">
        <v>1</v>
      </c>
      <c r="BB860" t="str">
        <f t="shared" si="42"/>
        <v xml:space="preserve">N690LS  </v>
      </c>
      <c r="BC860">
        <v>1</v>
      </c>
      <c r="BE860">
        <v>0</v>
      </c>
      <c r="BF860">
        <v>0</v>
      </c>
      <c r="BG860">
        <v>0</v>
      </c>
      <c r="BH860">
        <v>14875</v>
      </c>
      <c r="BI860">
        <v>1</v>
      </c>
      <c r="BJ860">
        <v>1</v>
      </c>
      <c r="BK860">
        <v>1</v>
      </c>
      <c r="BL860">
        <v>0</v>
      </c>
      <c r="BO860">
        <v>0</v>
      </c>
      <c r="BP860">
        <v>0</v>
      </c>
      <c r="BW860" t="str">
        <f>"13:57:37.781"</f>
        <v>13:57:37.781</v>
      </c>
      <c r="CJ860">
        <v>0</v>
      </c>
      <c r="CK860">
        <v>2</v>
      </c>
      <c r="CL860">
        <v>0</v>
      </c>
      <c r="CM860">
        <v>2</v>
      </c>
      <c r="CN860">
        <v>0</v>
      </c>
      <c r="CO860">
        <v>6</v>
      </c>
      <c r="CP860" t="s">
        <v>119</v>
      </c>
      <c r="CQ860">
        <v>209</v>
      </c>
      <c r="CR860">
        <v>3</v>
      </c>
      <c r="CW860">
        <v>7242941</v>
      </c>
      <c r="CY860">
        <v>1</v>
      </c>
      <c r="CZ860">
        <v>0</v>
      </c>
      <c r="DA860">
        <v>1</v>
      </c>
      <c r="DB860">
        <v>0</v>
      </c>
      <c r="DC860">
        <v>0</v>
      </c>
      <c r="DD860">
        <v>1</v>
      </c>
      <c r="DE860">
        <v>0</v>
      </c>
      <c r="DF860">
        <v>0</v>
      </c>
      <c r="DG860">
        <v>0</v>
      </c>
      <c r="DH860">
        <v>0</v>
      </c>
      <c r="DI860">
        <v>0</v>
      </c>
    </row>
    <row r="861" spans="1:113" x14ac:dyDescent="0.3">
      <c r="A861" t="str">
        <f>"09/28/2021 13:57:39.011"</f>
        <v>09/28/2021 13:57:39.011</v>
      </c>
      <c r="C861" t="str">
        <f t="shared" si="41"/>
        <v>FFDFD3C0</v>
      </c>
      <c r="D861" t="s">
        <v>113</v>
      </c>
      <c r="E861">
        <v>7</v>
      </c>
      <c r="H861">
        <v>170</v>
      </c>
      <c r="I861" t="s">
        <v>114</v>
      </c>
      <c r="J861" t="s">
        <v>115</v>
      </c>
      <c r="K861">
        <v>0</v>
      </c>
      <c r="L861">
        <v>3</v>
      </c>
      <c r="M861">
        <v>0</v>
      </c>
      <c r="N861">
        <v>2</v>
      </c>
      <c r="O861">
        <v>1</v>
      </c>
      <c r="P861">
        <v>0</v>
      </c>
      <c r="Q861">
        <v>0</v>
      </c>
      <c r="S861" t="str">
        <f>"13:57:38.773"</f>
        <v>13:57:38.773</v>
      </c>
      <c r="T861" t="str">
        <f>"13:57:38.373"</f>
        <v>13:57:38.373</v>
      </c>
      <c r="U861" t="str">
        <f t="shared" si="43"/>
        <v>A92BC1</v>
      </c>
      <c r="V861">
        <v>0</v>
      </c>
      <c r="W861">
        <v>0</v>
      </c>
      <c r="X861">
        <v>2</v>
      </c>
      <c r="Z861">
        <v>0</v>
      </c>
      <c r="AA861">
        <v>9</v>
      </c>
      <c r="AB861">
        <v>3</v>
      </c>
      <c r="AC861">
        <v>0</v>
      </c>
      <c r="AD861">
        <v>10</v>
      </c>
      <c r="AE861">
        <v>0</v>
      </c>
      <c r="AF861">
        <v>3</v>
      </c>
      <c r="AG861">
        <v>2</v>
      </c>
      <c r="AH861">
        <v>0</v>
      </c>
      <c r="AI861" t="s">
        <v>962</v>
      </c>
      <c r="AJ861">
        <v>45.839531000000001</v>
      </c>
      <c r="AK861" t="s">
        <v>963</v>
      </c>
      <c r="AL861">
        <v>-89.188148999999996</v>
      </c>
      <c r="AM861">
        <v>100</v>
      </c>
      <c r="AN861">
        <v>14400</v>
      </c>
      <c r="AO861" t="s">
        <v>118</v>
      </c>
      <c r="AP861">
        <v>141</v>
      </c>
      <c r="AQ861">
        <v>119</v>
      </c>
      <c r="AR861">
        <v>1536</v>
      </c>
      <c r="AZ861">
        <v>1200</v>
      </c>
      <c r="BA861">
        <v>1</v>
      </c>
      <c r="BB861" t="str">
        <f t="shared" si="42"/>
        <v xml:space="preserve">N690LS  </v>
      </c>
      <c r="BC861">
        <v>1</v>
      </c>
      <c r="BE861">
        <v>0</v>
      </c>
      <c r="BF861">
        <v>0</v>
      </c>
      <c r="BG861">
        <v>0</v>
      </c>
      <c r="BH861">
        <v>14900</v>
      </c>
      <c r="BI861">
        <v>1</v>
      </c>
      <c r="BJ861">
        <v>1</v>
      </c>
      <c r="BK861">
        <v>1</v>
      </c>
      <c r="BL861">
        <v>0</v>
      </c>
      <c r="BO861">
        <v>0</v>
      </c>
      <c r="BP861">
        <v>0</v>
      </c>
      <c r="BW861" t="str">
        <f>"13:57:38.775"</f>
        <v>13:57:38.775</v>
      </c>
      <c r="CJ861">
        <v>0</v>
      </c>
      <c r="CK861">
        <v>2</v>
      </c>
      <c r="CL861">
        <v>0</v>
      </c>
      <c r="CM861">
        <v>2</v>
      </c>
      <c r="CN861">
        <v>0</v>
      </c>
      <c r="CO861">
        <v>6</v>
      </c>
      <c r="CP861" t="s">
        <v>119</v>
      </c>
      <c r="CQ861">
        <v>210</v>
      </c>
      <c r="CR861">
        <v>2</v>
      </c>
      <c r="CW861">
        <v>2362031</v>
      </c>
      <c r="CY861">
        <v>1</v>
      </c>
      <c r="CZ861">
        <v>0</v>
      </c>
      <c r="DA861">
        <v>0</v>
      </c>
      <c r="DB861">
        <v>0</v>
      </c>
      <c r="DC861">
        <v>0</v>
      </c>
      <c r="DD861">
        <v>1</v>
      </c>
      <c r="DE861">
        <v>0</v>
      </c>
      <c r="DF861">
        <v>0</v>
      </c>
      <c r="DG861">
        <v>0</v>
      </c>
      <c r="DH861">
        <v>0</v>
      </c>
      <c r="DI861">
        <v>0</v>
      </c>
    </row>
    <row r="862" spans="1:113" x14ac:dyDescent="0.3">
      <c r="A862" t="str">
        <f>"09/28/2021 13:57:39.011"</f>
        <v>09/28/2021 13:57:39.011</v>
      </c>
      <c r="C862" t="str">
        <f t="shared" si="41"/>
        <v>FFDFD3C0</v>
      </c>
      <c r="D862" t="s">
        <v>120</v>
      </c>
      <c r="E862">
        <v>12</v>
      </c>
      <c r="F862">
        <v>1012</v>
      </c>
      <c r="G862" t="s">
        <v>114</v>
      </c>
      <c r="J862" t="s">
        <v>121</v>
      </c>
      <c r="K862">
        <v>0</v>
      </c>
      <c r="L862">
        <v>3</v>
      </c>
      <c r="M862">
        <v>0</v>
      </c>
      <c r="N862">
        <v>2</v>
      </c>
      <c r="O862">
        <v>1</v>
      </c>
      <c r="P862">
        <v>0</v>
      </c>
      <c r="Q862">
        <v>0</v>
      </c>
      <c r="S862" t="str">
        <f>"13:57:38.773"</f>
        <v>13:57:38.773</v>
      </c>
      <c r="T862" t="str">
        <f>"13:57:38.373"</f>
        <v>13:57:38.373</v>
      </c>
      <c r="U862" t="str">
        <f t="shared" si="43"/>
        <v>A92BC1</v>
      </c>
      <c r="V862">
        <v>0</v>
      </c>
      <c r="W862">
        <v>0</v>
      </c>
      <c r="X862">
        <v>2</v>
      </c>
      <c r="Z862">
        <v>0</v>
      </c>
      <c r="AA862">
        <v>9</v>
      </c>
      <c r="AB862">
        <v>3</v>
      </c>
      <c r="AC862">
        <v>0</v>
      </c>
      <c r="AD862">
        <v>10</v>
      </c>
      <c r="AE862">
        <v>0</v>
      </c>
      <c r="AF862">
        <v>3</v>
      </c>
      <c r="AG862">
        <v>2</v>
      </c>
      <c r="AH862">
        <v>0</v>
      </c>
      <c r="AI862" t="s">
        <v>962</v>
      </c>
      <c r="AJ862">
        <v>45.839531000000001</v>
      </c>
      <c r="AK862" t="s">
        <v>963</v>
      </c>
      <c r="AL862">
        <v>-89.188148999999996</v>
      </c>
      <c r="AM862">
        <v>100</v>
      </c>
      <c r="AN862">
        <v>14400</v>
      </c>
      <c r="AO862" t="s">
        <v>118</v>
      </c>
      <c r="AP862">
        <v>141</v>
      </c>
      <c r="AQ862">
        <v>119</v>
      </c>
      <c r="AR862">
        <v>1536</v>
      </c>
      <c r="AZ862">
        <v>1200</v>
      </c>
      <c r="BA862">
        <v>1</v>
      </c>
      <c r="BB862" t="str">
        <f t="shared" si="42"/>
        <v xml:space="preserve">N690LS  </v>
      </c>
      <c r="BC862">
        <v>1</v>
      </c>
      <c r="BE862">
        <v>0</v>
      </c>
      <c r="BF862">
        <v>0</v>
      </c>
      <c r="BG862">
        <v>0</v>
      </c>
      <c r="BH862">
        <v>14900</v>
      </c>
      <c r="BI862">
        <v>1</v>
      </c>
      <c r="BJ862">
        <v>1</v>
      </c>
      <c r="BK862">
        <v>1</v>
      </c>
      <c r="BL862">
        <v>0</v>
      </c>
      <c r="BO862">
        <v>0</v>
      </c>
      <c r="BP862">
        <v>0</v>
      </c>
      <c r="BW862" t="str">
        <f>"13:57:38.775"</f>
        <v>13:57:38.775</v>
      </c>
      <c r="CJ862">
        <v>0</v>
      </c>
      <c r="CK862">
        <v>2</v>
      </c>
      <c r="CL862">
        <v>0</v>
      </c>
      <c r="CM862">
        <v>2</v>
      </c>
      <c r="CN862">
        <v>0</v>
      </c>
      <c r="CO862">
        <v>6</v>
      </c>
      <c r="CP862" t="s">
        <v>119</v>
      </c>
      <c r="CQ862">
        <v>210</v>
      </c>
      <c r="CR862">
        <v>2</v>
      </c>
      <c r="CW862">
        <v>2362031</v>
      </c>
      <c r="CY862">
        <v>1</v>
      </c>
      <c r="CZ862">
        <v>0</v>
      </c>
      <c r="DA862">
        <v>1</v>
      </c>
      <c r="DB862">
        <v>0</v>
      </c>
      <c r="DC862">
        <v>0</v>
      </c>
      <c r="DD862">
        <v>1</v>
      </c>
      <c r="DE862">
        <v>0</v>
      </c>
      <c r="DF862">
        <v>0</v>
      </c>
      <c r="DG862">
        <v>0</v>
      </c>
      <c r="DH862">
        <v>0</v>
      </c>
      <c r="DI862">
        <v>0</v>
      </c>
    </row>
    <row r="863" spans="1:113" x14ac:dyDescent="0.3">
      <c r="A863" t="str">
        <f>"09/28/2021 13:57:39.981"</f>
        <v>09/28/2021 13:57:39.981</v>
      </c>
      <c r="C863" t="str">
        <f t="shared" si="41"/>
        <v>FFDFD3C0</v>
      </c>
      <c r="D863" t="s">
        <v>113</v>
      </c>
      <c r="E863">
        <v>7</v>
      </c>
      <c r="H863">
        <v>170</v>
      </c>
      <c r="I863" t="s">
        <v>114</v>
      </c>
      <c r="J863" t="s">
        <v>115</v>
      </c>
      <c r="K863">
        <v>0</v>
      </c>
      <c r="L863">
        <v>3</v>
      </c>
      <c r="M863">
        <v>0</v>
      </c>
      <c r="N863">
        <v>2</v>
      </c>
      <c r="O863">
        <v>1</v>
      </c>
      <c r="P863">
        <v>0</v>
      </c>
      <c r="Q863">
        <v>0</v>
      </c>
      <c r="S863" t="str">
        <f>"13:57:39.742"</f>
        <v>13:57:39.742</v>
      </c>
      <c r="T863" t="str">
        <f>"13:57:39.242"</f>
        <v>13:57:39.242</v>
      </c>
      <c r="U863" t="str">
        <f t="shared" si="43"/>
        <v>A92BC1</v>
      </c>
      <c r="V863">
        <v>0</v>
      </c>
      <c r="W863">
        <v>0</v>
      </c>
      <c r="X863">
        <v>2</v>
      </c>
      <c r="Z863">
        <v>0</v>
      </c>
      <c r="AA863">
        <v>9</v>
      </c>
      <c r="AB863">
        <v>3</v>
      </c>
      <c r="AC863">
        <v>0</v>
      </c>
      <c r="AD863">
        <v>10</v>
      </c>
      <c r="AE863">
        <v>0</v>
      </c>
      <c r="AF863">
        <v>3</v>
      </c>
      <c r="AG863">
        <v>2</v>
      </c>
      <c r="AH863">
        <v>0</v>
      </c>
      <c r="AI863" t="s">
        <v>964</v>
      </c>
      <c r="AJ863">
        <v>45.840088999999999</v>
      </c>
      <c r="AK863" t="s">
        <v>965</v>
      </c>
      <c r="AL863">
        <v>-89.187205000000006</v>
      </c>
      <c r="AM863">
        <v>100</v>
      </c>
      <c r="AN863">
        <v>14400</v>
      </c>
      <c r="AO863" t="s">
        <v>118</v>
      </c>
      <c r="AP863">
        <v>141</v>
      </c>
      <c r="AQ863">
        <v>119</v>
      </c>
      <c r="AR863">
        <v>1536</v>
      </c>
      <c r="AZ863">
        <v>1200</v>
      </c>
      <c r="BA863">
        <v>1</v>
      </c>
      <c r="BB863" t="str">
        <f t="shared" si="42"/>
        <v xml:space="preserve">N690LS  </v>
      </c>
      <c r="BC863">
        <v>1</v>
      </c>
      <c r="BE863">
        <v>0</v>
      </c>
      <c r="BF863">
        <v>0</v>
      </c>
      <c r="BG863">
        <v>0</v>
      </c>
      <c r="BH863">
        <v>14925</v>
      </c>
      <c r="BI863">
        <v>1</v>
      </c>
      <c r="BJ863">
        <v>1</v>
      </c>
      <c r="BK863">
        <v>1</v>
      </c>
      <c r="BL863">
        <v>0</v>
      </c>
      <c r="BO863">
        <v>0</v>
      </c>
      <c r="BP863">
        <v>0</v>
      </c>
      <c r="BW863" t="str">
        <f>"13:57:39.744"</f>
        <v>13:57:39.744</v>
      </c>
      <c r="CJ863">
        <v>0</v>
      </c>
      <c r="CK863">
        <v>2</v>
      </c>
      <c r="CL863">
        <v>0</v>
      </c>
      <c r="CM863">
        <v>2</v>
      </c>
      <c r="CN863">
        <v>0</v>
      </c>
      <c r="CO863">
        <v>7</v>
      </c>
      <c r="CP863" t="s">
        <v>119</v>
      </c>
      <c r="CQ863">
        <v>197</v>
      </c>
      <c r="CR863">
        <v>1</v>
      </c>
      <c r="CW863">
        <v>7435847</v>
      </c>
      <c r="CY863">
        <v>1</v>
      </c>
      <c r="CZ863">
        <v>0</v>
      </c>
      <c r="DA863">
        <v>0</v>
      </c>
      <c r="DB863">
        <v>0</v>
      </c>
      <c r="DC863">
        <v>0</v>
      </c>
      <c r="DD863">
        <v>1</v>
      </c>
      <c r="DE863">
        <v>0</v>
      </c>
      <c r="DF863">
        <v>0</v>
      </c>
      <c r="DG863">
        <v>0</v>
      </c>
      <c r="DH863">
        <v>0</v>
      </c>
      <c r="DI863">
        <v>0</v>
      </c>
    </row>
    <row r="864" spans="1:113" x14ac:dyDescent="0.3">
      <c r="A864" t="str">
        <f>"09/28/2021 13:57:39.981"</f>
        <v>09/28/2021 13:57:39.981</v>
      </c>
      <c r="C864" t="str">
        <f t="shared" si="41"/>
        <v>FFDFD3C0</v>
      </c>
      <c r="D864" t="s">
        <v>120</v>
      </c>
      <c r="E864">
        <v>12</v>
      </c>
      <c r="F864">
        <v>1012</v>
      </c>
      <c r="G864" t="s">
        <v>114</v>
      </c>
      <c r="J864" t="s">
        <v>121</v>
      </c>
      <c r="K864">
        <v>0</v>
      </c>
      <c r="L864">
        <v>3</v>
      </c>
      <c r="M864">
        <v>0</v>
      </c>
      <c r="N864">
        <v>2</v>
      </c>
      <c r="O864">
        <v>1</v>
      </c>
      <c r="P864">
        <v>0</v>
      </c>
      <c r="Q864">
        <v>0</v>
      </c>
      <c r="S864" t="str">
        <f>"13:57:39.742"</f>
        <v>13:57:39.742</v>
      </c>
      <c r="T864" t="str">
        <f>"13:57:39.242"</f>
        <v>13:57:39.242</v>
      </c>
      <c r="U864" t="str">
        <f t="shared" si="43"/>
        <v>A92BC1</v>
      </c>
      <c r="V864">
        <v>0</v>
      </c>
      <c r="W864">
        <v>0</v>
      </c>
      <c r="X864">
        <v>2</v>
      </c>
      <c r="Z864">
        <v>0</v>
      </c>
      <c r="AA864">
        <v>9</v>
      </c>
      <c r="AB864">
        <v>3</v>
      </c>
      <c r="AC864">
        <v>0</v>
      </c>
      <c r="AD864">
        <v>10</v>
      </c>
      <c r="AE864">
        <v>0</v>
      </c>
      <c r="AF864">
        <v>3</v>
      </c>
      <c r="AG864">
        <v>2</v>
      </c>
      <c r="AH864">
        <v>0</v>
      </c>
      <c r="AI864" t="s">
        <v>964</v>
      </c>
      <c r="AJ864">
        <v>45.840088999999999</v>
      </c>
      <c r="AK864" t="s">
        <v>965</v>
      </c>
      <c r="AL864">
        <v>-89.187205000000006</v>
      </c>
      <c r="AM864">
        <v>100</v>
      </c>
      <c r="AN864">
        <v>14400</v>
      </c>
      <c r="AO864" t="s">
        <v>118</v>
      </c>
      <c r="AP864">
        <v>141</v>
      </c>
      <c r="AQ864">
        <v>119</v>
      </c>
      <c r="AR864">
        <v>1536</v>
      </c>
      <c r="AZ864">
        <v>1200</v>
      </c>
      <c r="BA864">
        <v>1</v>
      </c>
      <c r="BB864" t="str">
        <f t="shared" si="42"/>
        <v xml:space="preserve">N690LS  </v>
      </c>
      <c r="BC864">
        <v>1</v>
      </c>
      <c r="BE864">
        <v>0</v>
      </c>
      <c r="BF864">
        <v>0</v>
      </c>
      <c r="BG864">
        <v>0</v>
      </c>
      <c r="BH864">
        <v>14925</v>
      </c>
      <c r="BI864">
        <v>1</v>
      </c>
      <c r="BJ864">
        <v>1</v>
      </c>
      <c r="BK864">
        <v>1</v>
      </c>
      <c r="BL864">
        <v>0</v>
      </c>
      <c r="BO864">
        <v>0</v>
      </c>
      <c r="BP864">
        <v>0</v>
      </c>
      <c r="BW864" t="str">
        <f>"13:57:39.744"</f>
        <v>13:57:39.744</v>
      </c>
      <c r="CJ864">
        <v>0</v>
      </c>
      <c r="CK864">
        <v>2</v>
      </c>
      <c r="CL864">
        <v>0</v>
      </c>
      <c r="CM864">
        <v>2</v>
      </c>
      <c r="CN864">
        <v>0</v>
      </c>
      <c r="CO864">
        <v>7</v>
      </c>
      <c r="CP864" t="s">
        <v>119</v>
      </c>
      <c r="CQ864">
        <v>197</v>
      </c>
      <c r="CR864">
        <v>1</v>
      </c>
      <c r="CW864">
        <v>7435847</v>
      </c>
      <c r="CY864">
        <v>1</v>
      </c>
      <c r="CZ864">
        <v>0</v>
      </c>
      <c r="DA864">
        <v>1</v>
      </c>
      <c r="DB864">
        <v>0</v>
      </c>
      <c r="DC864">
        <v>0</v>
      </c>
      <c r="DD864">
        <v>1</v>
      </c>
      <c r="DE864">
        <v>0</v>
      </c>
      <c r="DF864">
        <v>0</v>
      </c>
      <c r="DG864">
        <v>0</v>
      </c>
      <c r="DH864">
        <v>0</v>
      </c>
      <c r="DI864">
        <v>0</v>
      </c>
    </row>
    <row r="865" spans="1:113" x14ac:dyDescent="0.3">
      <c r="A865" t="str">
        <f>"09/28/2021 13:57:41.027"</f>
        <v>09/28/2021 13:57:41.027</v>
      </c>
      <c r="C865" t="str">
        <f t="shared" si="41"/>
        <v>FFDFD3C0</v>
      </c>
      <c r="D865" t="s">
        <v>120</v>
      </c>
      <c r="E865">
        <v>12</v>
      </c>
      <c r="F865">
        <v>1012</v>
      </c>
      <c r="G865" t="s">
        <v>114</v>
      </c>
      <c r="J865" t="s">
        <v>121</v>
      </c>
      <c r="K865">
        <v>0</v>
      </c>
      <c r="L865">
        <v>3</v>
      </c>
      <c r="M865">
        <v>0</v>
      </c>
      <c r="N865">
        <v>2</v>
      </c>
      <c r="O865">
        <v>1</v>
      </c>
      <c r="P865">
        <v>0</v>
      </c>
      <c r="Q865">
        <v>0</v>
      </c>
      <c r="S865" t="str">
        <f>"13:57:40.813"</f>
        <v>13:57:40.813</v>
      </c>
      <c r="T865" t="str">
        <f>"13:57:40.313"</f>
        <v>13:57:40.313</v>
      </c>
      <c r="U865" t="str">
        <f t="shared" si="43"/>
        <v>A92BC1</v>
      </c>
      <c r="V865">
        <v>0</v>
      </c>
      <c r="W865">
        <v>0</v>
      </c>
      <c r="X865">
        <v>2</v>
      </c>
      <c r="Z865">
        <v>0</v>
      </c>
      <c r="AA865">
        <v>9</v>
      </c>
      <c r="AB865">
        <v>3</v>
      </c>
      <c r="AC865">
        <v>0</v>
      </c>
      <c r="AD865">
        <v>10</v>
      </c>
      <c r="AE865">
        <v>0</v>
      </c>
      <c r="AF865">
        <v>3</v>
      </c>
      <c r="AG865">
        <v>2</v>
      </c>
      <c r="AH865">
        <v>0</v>
      </c>
      <c r="AI865" t="s">
        <v>966</v>
      </c>
      <c r="AJ865">
        <v>45.840646999999997</v>
      </c>
      <c r="AK865" t="s">
        <v>967</v>
      </c>
      <c r="AL865">
        <v>-89.186282000000006</v>
      </c>
      <c r="AM865">
        <v>100</v>
      </c>
      <c r="AN865">
        <v>14500</v>
      </c>
      <c r="AO865" t="s">
        <v>118</v>
      </c>
      <c r="AP865">
        <v>141</v>
      </c>
      <c r="AQ865">
        <v>119</v>
      </c>
      <c r="AR865">
        <v>1536</v>
      </c>
      <c r="AZ865">
        <v>1200</v>
      </c>
      <c r="BA865">
        <v>1</v>
      </c>
      <c r="BB865" t="str">
        <f t="shared" si="42"/>
        <v xml:space="preserve">N690LS  </v>
      </c>
      <c r="BC865">
        <v>1</v>
      </c>
      <c r="BE865">
        <v>0</v>
      </c>
      <c r="BF865">
        <v>0</v>
      </c>
      <c r="BG865">
        <v>0</v>
      </c>
      <c r="BH865">
        <v>14950</v>
      </c>
      <c r="BI865">
        <v>1</v>
      </c>
      <c r="BJ865">
        <v>1</v>
      </c>
      <c r="BK865">
        <v>1</v>
      </c>
      <c r="BL865">
        <v>0</v>
      </c>
      <c r="BO865">
        <v>0</v>
      </c>
      <c r="BP865">
        <v>0</v>
      </c>
      <c r="BW865" t="str">
        <f>"13:57:40.816"</f>
        <v>13:57:40.816</v>
      </c>
      <c r="CJ865">
        <v>0</v>
      </c>
      <c r="CK865">
        <v>2</v>
      </c>
      <c r="CL865">
        <v>0</v>
      </c>
      <c r="CM865">
        <v>2</v>
      </c>
      <c r="CN865">
        <v>0</v>
      </c>
      <c r="CO865">
        <v>7</v>
      </c>
      <c r="CP865" t="s">
        <v>119</v>
      </c>
      <c r="CQ865">
        <v>197</v>
      </c>
      <c r="CR865">
        <v>1</v>
      </c>
      <c r="CW865">
        <v>7437130</v>
      </c>
      <c r="CY865">
        <v>1</v>
      </c>
      <c r="CZ865">
        <v>0</v>
      </c>
      <c r="DA865">
        <v>0</v>
      </c>
      <c r="DB865">
        <v>0</v>
      </c>
      <c r="DC865">
        <v>0</v>
      </c>
      <c r="DD865">
        <v>1</v>
      </c>
      <c r="DE865">
        <v>0</v>
      </c>
      <c r="DF865">
        <v>0</v>
      </c>
      <c r="DG865">
        <v>0</v>
      </c>
      <c r="DH865">
        <v>0</v>
      </c>
      <c r="DI865">
        <v>0</v>
      </c>
    </row>
    <row r="866" spans="1:113" x14ac:dyDescent="0.3">
      <c r="A866" t="str">
        <f>"09/28/2021 13:57:41.043"</f>
        <v>09/28/2021 13:57:41.043</v>
      </c>
      <c r="C866" t="str">
        <f t="shared" si="41"/>
        <v>FFDFD3C0</v>
      </c>
      <c r="D866" t="s">
        <v>113</v>
      </c>
      <c r="E866">
        <v>7</v>
      </c>
      <c r="H866">
        <v>170</v>
      </c>
      <c r="I866" t="s">
        <v>114</v>
      </c>
      <c r="J866" t="s">
        <v>115</v>
      </c>
      <c r="K866">
        <v>0</v>
      </c>
      <c r="L866">
        <v>3</v>
      </c>
      <c r="M866">
        <v>0</v>
      </c>
      <c r="N866">
        <v>2</v>
      </c>
      <c r="O866">
        <v>1</v>
      </c>
      <c r="P866">
        <v>0</v>
      </c>
      <c r="Q866">
        <v>0</v>
      </c>
      <c r="S866" t="str">
        <f>"13:57:40.813"</f>
        <v>13:57:40.813</v>
      </c>
      <c r="T866" t="str">
        <f>"13:57:40.313"</f>
        <v>13:57:40.313</v>
      </c>
      <c r="U866" t="str">
        <f t="shared" si="43"/>
        <v>A92BC1</v>
      </c>
      <c r="V866">
        <v>0</v>
      </c>
      <c r="W866">
        <v>0</v>
      </c>
      <c r="X866">
        <v>2</v>
      </c>
      <c r="Z866">
        <v>0</v>
      </c>
      <c r="AA866">
        <v>9</v>
      </c>
      <c r="AB866">
        <v>3</v>
      </c>
      <c r="AC866">
        <v>0</v>
      </c>
      <c r="AD866">
        <v>10</v>
      </c>
      <c r="AE866">
        <v>0</v>
      </c>
      <c r="AF866">
        <v>3</v>
      </c>
      <c r="AG866">
        <v>2</v>
      </c>
      <c r="AH866">
        <v>0</v>
      </c>
      <c r="AI866" t="s">
        <v>966</v>
      </c>
      <c r="AJ866">
        <v>45.840646999999997</v>
      </c>
      <c r="AK866" t="s">
        <v>967</v>
      </c>
      <c r="AL866">
        <v>-89.186282000000006</v>
      </c>
      <c r="AM866">
        <v>100</v>
      </c>
      <c r="AN866">
        <v>14500</v>
      </c>
      <c r="AO866" t="s">
        <v>118</v>
      </c>
      <c r="AP866">
        <v>141</v>
      </c>
      <c r="AQ866">
        <v>119</v>
      </c>
      <c r="AR866">
        <v>1536</v>
      </c>
      <c r="AZ866">
        <v>1200</v>
      </c>
      <c r="BA866">
        <v>1</v>
      </c>
      <c r="BB866" t="str">
        <f t="shared" si="42"/>
        <v xml:space="preserve">N690LS  </v>
      </c>
      <c r="BC866">
        <v>1</v>
      </c>
      <c r="BE866">
        <v>0</v>
      </c>
      <c r="BF866">
        <v>0</v>
      </c>
      <c r="BG866">
        <v>0</v>
      </c>
      <c r="BH866">
        <v>14950</v>
      </c>
      <c r="BI866">
        <v>1</v>
      </c>
      <c r="BJ866">
        <v>1</v>
      </c>
      <c r="BK866">
        <v>1</v>
      </c>
      <c r="BL866">
        <v>0</v>
      </c>
      <c r="BO866">
        <v>0</v>
      </c>
      <c r="BP866">
        <v>0</v>
      </c>
      <c r="BW866" t="str">
        <f>"13:57:40.816"</f>
        <v>13:57:40.816</v>
      </c>
      <c r="CJ866">
        <v>0</v>
      </c>
      <c r="CK866">
        <v>2</v>
      </c>
      <c r="CL866">
        <v>0</v>
      </c>
      <c r="CM866">
        <v>2</v>
      </c>
      <c r="CN866">
        <v>0</v>
      </c>
      <c r="CO866">
        <v>7</v>
      </c>
      <c r="CP866" t="s">
        <v>119</v>
      </c>
      <c r="CQ866">
        <v>197</v>
      </c>
      <c r="CR866">
        <v>1</v>
      </c>
      <c r="CW866">
        <v>7437130</v>
      </c>
      <c r="CY866">
        <v>1</v>
      </c>
      <c r="CZ866">
        <v>0</v>
      </c>
      <c r="DA866">
        <v>1</v>
      </c>
      <c r="DB866">
        <v>0</v>
      </c>
      <c r="DC866">
        <v>0</v>
      </c>
      <c r="DD866">
        <v>1</v>
      </c>
      <c r="DE866">
        <v>0</v>
      </c>
      <c r="DF866">
        <v>0</v>
      </c>
      <c r="DG866">
        <v>0</v>
      </c>
      <c r="DH866">
        <v>0</v>
      </c>
      <c r="DI866">
        <v>0</v>
      </c>
    </row>
    <row r="867" spans="1:113" x14ac:dyDescent="0.3">
      <c r="A867" t="str">
        <f>"09/28/2021 13:57:42.057"</f>
        <v>09/28/2021 13:57:42.057</v>
      </c>
      <c r="C867" t="str">
        <f t="shared" si="41"/>
        <v>FFDFD3C0</v>
      </c>
      <c r="D867" t="s">
        <v>120</v>
      </c>
      <c r="E867">
        <v>12</v>
      </c>
      <c r="F867">
        <v>1012</v>
      </c>
      <c r="G867" t="s">
        <v>114</v>
      </c>
      <c r="J867" t="s">
        <v>121</v>
      </c>
      <c r="K867">
        <v>0</v>
      </c>
      <c r="L867">
        <v>3</v>
      </c>
      <c r="M867">
        <v>0</v>
      </c>
      <c r="N867">
        <v>2</v>
      </c>
      <c r="O867">
        <v>1</v>
      </c>
      <c r="P867">
        <v>0</v>
      </c>
      <c r="Q867">
        <v>0</v>
      </c>
      <c r="S867" t="str">
        <f>"13:57:41.875"</f>
        <v>13:57:41.875</v>
      </c>
      <c r="T867" t="str">
        <f>"13:57:41.375"</f>
        <v>13:57:41.375</v>
      </c>
      <c r="U867" t="str">
        <f t="shared" si="43"/>
        <v>A92BC1</v>
      </c>
      <c r="V867">
        <v>0</v>
      </c>
      <c r="W867">
        <v>0</v>
      </c>
      <c r="X867">
        <v>2</v>
      </c>
      <c r="Z867">
        <v>0</v>
      </c>
      <c r="AA867">
        <v>9</v>
      </c>
      <c r="AB867">
        <v>3</v>
      </c>
      <c r="AC867">
        <v>0</v>
      </c>
      <c r="AD867">
        <v>10</v>
      </c>
      <c r="AE867">
        <v>0</v>
      </c>
      <c r="AF867">
        <v>3</v>
      </c>
      <c r="AG867">
        <v>2</v>
      </c>
      <c r="AH867">
        <v>0</v>
      </c>
      <c r="AI867" t="s">
        <v>968</v>
      </c>
      <c r="AJ867">
        <v>45.841248</v>
      </c>
      <c r="AK867" t="s">
        <v>969</v>
      </c>
      <c r="AL867">
        <v>-89.185231000000002</v>
      </c>
      <c r="AM867">
        <v>100</v>
      </c>
      <c r="AN867">
        <v>14500</v>
      </c>
      <c r="AO867" t="s">
        <v>118</v>
      </c>
      <c r="AP867">
        <v>141</v>
      </c>
      <c r="AQ867">
        <v>119</v>
      </c>
      <c r="AR867">
        <v>1536</v>
      </c>
      <c r="AZ867">
        <v>1200</v>
      </c>
      <c r="BA867">
        <v>1</v>
      </c>
      <c r="BB867" t="str">
        <f t="shared" si="42"/>
        <v xml:space="preserve">N690LS  </v>
      </c>
      <c r="BC867">
        <v>1</v>
      </c>
      <c r="BE867">
        <v>0</v>
      </c>
      <c r="BF867">
        <v>0</v>
      </c>
      <c r="BG867">
        <v>0</v>
      </c>
      <c r="BH867">
        <v>14975</v>
      </c>
      <c r="BI867">
        <v>1</v>
      </c>
      <c r="BJ867">
        <v>1</v>
      </c>
      <c r="BK867">
        <v>1</v>
      </c>
      <c r="BL867">
        <v>0</v>
      </c>
      <c r="BO867">
        <v>0</v>
      </c>
      <c r="BP867">
        <v>0</v>
      </c>
      <c r="BW867" t="str">
        <f>"13:57:41.881"</f>
        <v>13:57:41.881</v>
      </c>
      <c r="CJ867">
        <v>0</v>
      </c>
      <c r="CK867">
        <v>2</v>
      </c>
      <c r="CL867">
        <v>0</v>
      </c>
      <c r="CM867">
        <v>2</v>
      </c>
      <c r="CN867">
        <v>0</v>
      </c>
      <c r="CO867">
        <v>7</v>
      </c>
      <c r="CP867" t="s">
        <v>119</v>
      </c>
      <c r="CQ867">
        <v>197</v>
      </c>
      <c r="CR867">
        <v>0</v>
      </c>
      <c r="CW867">
        <v>16063584</v>
      </c>
      <c r="CY867">
        <v>1</v>
      </c>
      <c r="CZ867">
        <v>0</v>
      </c>
      <c r="DA867">
        <v>0</v>
      </c>
      <c r="DB867">
        <v>0</v>
      </c>
      <c r="DC867">
        <v>0</v>
      </c>
      <c r="DD867">
        <v>1</v>
      </c>
      <c r="DE867">
        <v>0</v>
      </c>
      <c r="DF867">
        <v>0</v>
      </c>
      <c r="DG867">
        <v>0</v>
      </c>
      <c r="DH867">
        <v>0</v>
      </c>
      <c r="DI867">
        <v>0</v>
      </c>
    </row>
    <row r="868" spans="1:113" x14ac:dyDescent="0.3">
      <c r="A868" t="str">
        <f>"09/28/2021 13:57:42.089"</f>
        <v>09/28/2021 13:57:42.089</v>
      </c>
      <c r="C868" t="str">
        <f t="shared" si="41"/>
        <v>FFDFD3C0</v>
      </c>
      <c r="D868" t="s">
        <v>113</v>
      </c>
      <c r="E868">
        <v>7</v>
      </c>
      <c r="H868">
        <v>170</v>
      </c>
      <c r="I868" t="s">
        <v>114</v>
      </c>
      <c r="J868" t="s">
        <v>115</v>
      </c>
      <c r="K868">
        <v>0</v>
      </c>
      <c r="L868">
        <v>3</v>
      </c>
      <c r="M868">
        <v>0</v>
      </c>
      <c r="N868">
        <v>2</v>
      </c>
      <c r="O868">
        <v>1</v>
      </c>
      <c r="P868">
        <v>0</v>
      </c>
      <c r="Q868">
        <v>0</v>
      </c>
      <c r="S868" t="str">
        <f>"13:57:41.875"</f>
        <v>13:57:41.875</v>
      </c>
      <c r="T868" t="str">
        <f>"13:57:41.375"</f>
        <v>13:57:41.375</v>
      </c>
      <c r="U868" t="str">
        <f t="shared" si="43"/>
        <v>A92BC1</v>
      </c>
      <c r="V868">
        <v>0</v>
      </c>
      <c r="W868">
        <v>0</v>
      </c>
      <c r="X868">
        <v>2</v>
      </c>
      <c r="Z868">
        <v>0</v>
      </c>
      <c r="AA868">
        <v>9</v>
      </c>
      <c r="AB868">
        <v>3</v>
      </c>
      <c r="AC868">
        <v>0</v>
      </c>
      <c r="AD868">
        <v>10</v>
      </c>
      <c r="AE868">
        <v>0</v>
      </c>
      <c r="AF868">
        <v>3</v>
      </c>
      <c r="AG868">
        <v>2</v>
      </c>
      <c r="AH868">
        <v>0</v>
      </c>
      <c r="AI868" t="s">
        <v>968</v>
      </c>
      <c r="AJ868">
        <v>45.841248</v>
      </c>
      <c r="AK868" t="s">
        <v>969</v>
      </c>
      <c r="AL868">
        <v>-89.185231000000002</v>
      </c>
      <c r="AM868">
        <v>100</v>
      </c>
      <c r="AN868">
        <v>14500</v>
      </c>
      <c r="AO868" t="s">
        <v>118</v>
      </c>
      <c r="AP868">
        <v>141</v>
      </c>
      <c r="AQ868">
        <v>119</v>
      </c>
      <c r="AR868">
        <v>1536</v>
      </c>
      <c r="AZ868">
        <v>1200</v>
      </c>
      <c r="BA868">
        <v>1</v>
      </c>
      <c r="BB868" t="str">
        <f t="shared" si="42"/>
        <v xml:space="preserve">N690LS  </v>
      </c>
      <c r="BC868">
        <v>1</v>
      </c>
      <c r="BE868">
        <v>0</v>
      </c>
      <c r="BF868">
        <v>0</v>
      </c>
      <c r="BG868">
        <v>0</v>
      </c>
      <c r="BH868">
        <v>14975</v>
      </c>
      <c r="BI868">
        <v>1</v>
      </c>
      <c r="BJ868">
        <v>1</v>
      </c>
      <c r="BK868">
        <v>1</v>
      </c>
      <c r="BL868">
        <v>0</v>
      </c>
      <c r="BO868">
        <v>0</v>
      </c>
      <c r="BP868">
        <v>0</v>
      </c>
      <c r="BW868" t="str">
        <f>"13:57:41.881"</f>
        <v>13:57:41.881</v>
      </c>
      <c r="CJ868">
        <v>0</v>
      </c>
      <c r="CK868">
        <v>2</v>
      </c>
      <c r="CL868">
        <v>0</v>
      </c>
      <c r="CM868">
        <v>2</v>
      </c>
      <c r="CN868">
        <v>0</v>
      </c>
      <c r="CO868">
        <v>7</v>
      </c>
      <c r="CP868" t="s">
        <v>119</v>
      </c>
      <c r="CQ868">
        <v>197</v>
      </c>
      <c r="CR868">
        <v>0</v>
      </c>
      <c r="CW868">
        <v>16063584</v>
      </c>
      <c r="CY868">
        <v>1</v>
      </c>
      <c r="CZ868">
        <v>0</v>
      </c>
      <c r="DA868">
        <v>1</v>
      </c>
      <c r="DB868">
        <v>0</v>
      </c>
      <c r="DC868">
        <v>0</v>
      </c>
      <c r="DD868">
        <v>1</v>
      </c>
      <c r="DE868">
        <v>0</v>
      </c>
      <c r="DF868">
        <v>0</v>
      </c>
      <c r="DG868">
        <v>0</v>
      </c>
      <c r="DH868">
        <v>0</v>
      </c>
      <c r="DI868">
        <v>0</v>
      </c>
    </row>
    <row r="869" spans="1:113" x14ac:dyDescent="0.3">
      <c r="A869" t="str">
        <f>"09/28/2021 13:57:43.104"</f>
        <v>09/28/2021 13:57:43.104</v>
      </c>
      <c r="C869" t="str">
        <f t="shared" si="41"/>
        <v>FFDFD3C0</v>
      </c>
      <c r="D869" t="s">
        <v>113</v>
      </c>
      <c r="E869">
        <v>7</v>
      </c>
      <c r="H869">
        <v>170</v>
      </c>
      <c r="I869" t="s">
        <v>114</v>
      </c>
      <c r="J869" t="s">
        <v>115</v>
      </c>
      <c r="K869">
        <v>0</v>
      </c>
      <c r="L869">
        <v>3</v>
      </c>
      <c r="M869">
        <v>0</v>
      </c>
      <c r="N869">
        <v>2</v>
      </c>
      <c r="O869">
        <v>1</v>
      </c>
      <c r="P869">
        <v>0</v>
      </c>
      <c r="Q869">
        <v>0</v>
      </c>
      <c r="S869" t="str">
        <f>"13:57:42.922"</f>
        <v>13:57:42.922</v>
      </c>
      <c r="T869" t="str">
        <f>"13:57:42.522"</f>
        <v>13:57:42.522</v>
      </c>
      <c r="U869" t="str">
        <f t="shared" si="43"/>
        <v>A92BC1</v>
      </c>
      <c r="V869">
        <v>0</v>
      </c>
      <c r="W869">
        <v>0</v>
      </c>
      <c r="X869">
        <v>2</v>
      </c>
      <c r="Z869">
        <v>0</v>
      </c>
      <c r="AA869">
        <v>9</v>
      </c>
      <c r="AB869">
        <v>3</v>
      </c>
      <c r="AC869">
        <v>0</v>
      </c>
      <c r="AD869">
        <v>10</v>
      </c>
      <c r="AE869">
        <v>0</v>
      </c>
      <c r="AF869">
        <v>3</v>
      </c>
      <c r="AG869">
        <v>2</v>
      </c>
      <c r="AH869">
        <v>0</v>
      </c>
      <c r="AI869" t="s">
        <v>970</v>
      </c>
      <c r="AJ869">
        <v>45.841805999999998</v>
      </c>
      <c r="AK869" t="s">
        <v>971</v>
      </c>
      <c r="AL869">
        <v>-89.184264999999996</v>
      </c>
      <c r="AM869">
        <v>100</v>
      </c>
      <c r="AN869">
        <v>14500</v>
      </c>
      <c r="AO869" t="s">
        <v>118</v>
      </c>
      <c r="AP869">
        <v>141</v>
      </c>
      <c r="AQ869">
        <v>118</v>
      </c>
      <c r="AR869">
        <v>1472</v>
      </c>
      <c r="AZ869">
        <v>1200</v>
      </c>
      <c r="BA869">
        <v>1</v>
      </c>
      <c r="BB869" t="str">
        <f t="shared" si="42"/>
        <v xml:space="preserve">N690LS  </v>
      </c>
      <c r="BC869">
        <v>1</v>
      </c>
      <c r="BE869">
        <v>0</v>
      </c>
      <c r="BF869">
        <v>0</v>
      </c>
      <c r="BG869">
        <v>0</v>
      </c>
      <c r="BH869">
        <v>15025</v>
      </c>
      <c r="BI869">
        <v>1</v>
      </c>
      <c r="BJ869">
        <v>1</v>
      </c>
      <c r="BK869">
        <v>1</v>
      </c>
      <c r="BL869">
        <v>0</v>
      </c>
      <c r="BO869">
        <v>0</v>
      </c>
      <c r="BP869">
        <v>0</v>
      </c>
      <c r="BW869" t="str">
        <f>"13:57:42.923"</f>
        <v>13:57:42.923</v>
      </c>
      <c r="CJ869">
        <v>0</v>
      </c>
      <c r="CK869">
        <v>2</v>
      </c>
      <c r="CL869">
        <v>0</v>
      </c>
      <c r="CM869">
        <v>2</v>
      </c>
      <c r="CN869">
        <v>0</v>
      </c>
      <c r="CO869">
        <v>7</v>
      </c>
      <c r="CP869" t="s">
        <v>119</v>
      </c>
      <c r="CQ869">
        <v>209</v>
      </c>
      <c r="CR869">
        <v>3</v>
      </c>
      <c r="CW869">
        <v>7244451</v>
      </c>
      <c r="CY869">
        <v>1</v>
      </c>
      <c r="CZ869">
        <v>0</v>
      </c>
      <c r="DA869">
        <v>0</v>
      </c>
      <c r="DB869">
        <v>0</v>
      </c>
      <c r="DC869">
        <v>0</v>
      </c>
      <c r="DD869">
        <v>1</v>
      </c>
      <c r="DE869">
        <v>0</v>
      </c>
      <c r="DF869">
        <v>0</v>
      </c>
      <c r="DG869">
        <v>0</v>
      </c>
      <c r="DH869">
        <v>0</v>
      </c>
      <c r="DI869">
        <v>0</v>
      </c>
    </row>
    <row r="870" spans="1:113" x14ac:dyDescent="0.3">
      <c r="A870" t="str">
        <f>"09/28/2021 13:57:43.104"</f>
        <v>09/28/2021 13:57:43.104</v>
      </c>
      <c r="C870" t="str">
        <f t="shared" si="41"/>
        <v>FFDFD3C0</v>
      </c>
      <c r="D870" t="s">
        <v>120</v>
      </c>
      <c r="E870">
        <v>12</v>
      </c>
      <c r="F870">
        <v>1012</v>
      </c>
      <c r="G870" t="s">
        <v>114</v>
      </c>
      <c r="J870" t="s">
        <v>121</v>
      </c>
      <c r="K870">
        <v>0</v>
      </c>
      <c r="L870">
        <v>3</v>
      </c>
      <c r="M870">
        <v>0</v>
      </c>
      <c r="N870">
        <v>2</v>
      </c>
      <c r="O870">
        <v>1</v>
      </c>
      <c r="P870">
        <v>0</v>
      </c>
      <c r="Q870">
        <v>0</v>
      </c>
      <c r="S870" t="str">
        <f>"13:57:42.922"</f>
        <v>13:57:42.922</v>
      </c>
      <c r="T870" t="str">
        <f>"13:57:42.522"</f>
        <v>13:57:42.522</v>
      </c>
      <c r="U870" t="str">
        <f t="shared" si="43"/>
        <v>A92BC1</v>
      </c>
      <c r="V870">
        <v>0</v>
      </c>
      <c r="W870">
        <v>0</v>
      </c>
      <c r="X870">
        <v>2</v>
      </c>
      <c r="Z870">
        <v>0</v>
      </c>
      <c r="AA870">
        <v>9</v>
      </c>
      <c r="AB870">
        <v>3</v>
      </c>
      <c r="AC870">
        <v>0</v>
      </c>
      <c r="AD870">
        <v>10</v>
      </c>
      <c r="AE870">
        <v>0</v>
      </c>
      <c r="AF870">
        <v>3</v>
      </c>
      <c r="AG870">
        <v>2</v>
      </c>
      <c r="AH870">
        <v>0</v>
      </c>
      <c r="AI870" t="s">
        <v>970</v>
      </c>
      <c r="AJ870">
        <v>45.841805999999998</v>
      </c>
      <c r="AK870" t="s">
        <v>971</v>
      </c>
      <c r="AL870">
        <v>-89.184264999999996</v>
      </c>
      <c r="AM870">
        <v>100</v>
      </c>
      <c r="AN870">
        <v>14500</v>
      </c>
      <c r="AO870" t="s">
        <v>118</v>
      </c>
      <c r="AP870">
        <v>141</v>
      </c>
      <c r="AQ870">
        <v>118</v>
      </c>
      <c r="AR870">
        <v>1472</v>
      </c>
      <c r="AZ870">
        <v>1200</v>
      </c>
      <c r="BA870">
        <v>1</v>
      </c>
      <c r="BB870" t="str">
        <f t="shared" si="42"/>
        <v xml:space="preserve">N690LS  </v>
      </c>
      <c r="BC870">
        <v>1</v>
      </c>
      <c r="BE870">
        <v>0</v>
      </c>
      <c r="BF870">
        <v>0</v>
      </c>
      <c r="BG870">
        <v>0</v>
      </c>
      <c r="BH870">
        <v>15025</v>
      </c>
      <c r="BI870">
        <v>1</v>
      </c>
      <c r="BJ870">
        <v>1</v>
      </c>
      <c r="BK870">
        <v>1</v>
      </c>
      <c r="BL870">
        <v>0</v>
      </c>
      <c r="BO870">
        <v>0</v>
      </c>
      <c r="BP870">
        <v>0</v>
      </c>
      <c r="BW870" t="str">
        <f>"13:57:42.923"</f>
        <v>13:57:42.923</v>
      </c>
      <c r="CJ870">
        <v>0</v>
      </c>
      <c r="CK870">
        <v>2</v>
      </c>
      <c r="CL870">
        <v>0</v>
      </c>
      <c r="CM870">
        <v>2</v>
      </c>
      <c r="CN870">
        <v>0</v>
      </c>
      <c r="CO870">
        <v>7</v>
      </c>
      <c r="CP870" t="s">
        <v>119</v>
      </c>
      <c r="CQ870">
        <v>209</v>
      </c>
      <c r="CR870">
        <v>3</v>
      </c>
      <c r="CW870">
        <v>7244451</v>
      </c>
      <c r="CY870">
        <v>1</v>
      </c>
      <c r="CZ870">
        <v>0</v>
      </c>
      <c r="DA870">
        <v>1</v>
      </c>
      <c r="DB870">
        <v>0</v>
      </c>
      <c r="DC870">
        <v>0</v>
      </c>
      <c r="DD870">
        <v>1</v>
      </c>
      <c r="DE870">
        <v>0</v>
      </c>
      <c r="DF870">
        <v>0</v>
      </c>
      <c r="DG870">
        <v>0</v>
      </c>
      <c r="DH870">
        <v>0</v>
      </c>
      <c r="DI870">
        <v>0</v>
      </c>
    </row>
    <row r="871" spans="1:113" x14ac:dyDescent="0.3">
      <c r="A871" t="str">
        <f>"09/28/2021 13:57:44.262"</f>
        <v>09/28/2021 13:57:44.262</v>
      </c>
      <c r="C871" t="str">
        <f t="shared" ref="C871:C934" si="44">"FFDFD3C0"</f>
        <v>FFDFD3C0</v>
      </c>
      <c r="D871" t="s">
        <v>120</v>
      </c>
      <c r="E871">
        <v>12</v>
      </c>
      <c r="F871">
        <v>1012</v>
      </c>
      <c r="G871" t="s">
        <v>114</v>
      </c>
      <c r="J871" t="s">
        <v>121</v>
      </c>
      <c r="K871">
        <v>0</v>
      </c>
      <c r="L871">
        <v>3</v>
      </c>
      <c r="M871">
        <v>0</v>
      </c>
      <c r="N871">
        <v>2</v>
      </c>
      <c r="O871">
        <v>1</v>
      </c>
      <c r="P871">
        <v>0</v>
      </c>
      <c r="Q871">
        <v>0</v>
      </c>
      <c r="S871" t="str">
        <f>"13:57:44.055"</f>
        <v>13:57:44.055</v>
      </c>
      <c r="T871" t="str">
        <f>"13:57:43.555"</f>
        <v>13:57:43.555</v>
      </c>
      <c r="U871" t="str">
        <f t="shared" si="43"/>
        <v>A92BC1</v>
      </c>
      <c r="V871">
        <v>0</v>
      </c>
      <c r="W871">
        <v>0</v>
      </c>
      <c r="X871">
        <v>2</v>
      </c>
      <c r="Z871">
        <v>0</v>
      </c>
      <c r="AA871">
        <v>9</v>
      </c>
      <c r="AB871">
        <v>3</v>
      </c>
      <c r="AC871">
        <v>0</v>
      </c>
      <c r="AD871">
        <v>10</v>
      </c>
      <c r="AE871">
        <v>0</v>
      </c>
      <c r="AF871">
        <v>3</v>
      </c>
      <c r="AG871">
        <v>2</v>
      </c>
      <c r="AH871">
        <v>0</v>
      </c>
      <c r="AI871" t="s">
        <v>972</v>
      </c>
      <c r="AJ871">
        <v>45.842449999999999</v>
      </c>
      <c r="AK871" t="s">
        <v>973</v>
      </c>
      <c r="AL871">
        <v>-89.183171000000002</v>
      </c>
      <c r="AM871">
        <v>100</v>
      </c>
      <c r="AN871">
        <v>14600</v>
      </c>
      <c r="AO871" t="s">
        <v>118</v>
      </c>
      <c r="AP871">
        <v>141</v>
      </c>
      <c r="AQ871">
        <v>118</v>
      </c>
      <c r="AR871">
        <v>1536</v>
      </c>
      <c r="AZ871">
        <v>1200</v>
      </c>
      <c r="BA871">
        <v>1</v>
      </c>
      <c r="BB871" t="str">
        <f t="shared" ref="BB871:BB934" si="45">"N690LS  "</f>
        <v xml:space="preserve">N690LS  </v>
      </c>
      <c r="BC871">
        <v>1</v>
      </c>
      <c r="BE871">
        <v>0</v>
      </c>
      <c r="BF871">
        <v>0</v>
      </c>
      <c r="BG871">
        <v>0</v>
      </c>
      <c r="BH871">
        <v>15050</v>
      </c>
      <c r="BI871">
        <v>1</v>
      </c>
      <c r="BJ871">
        <v>1</v>
      </c>
      <c r="BK871">
        <v>1</v>
      </c>
      <c r="BL871">
        <v>0</v>
      </c>
      <c r="BO871">
        <v>0</v>
      </c>
      <c r="BP871">
        <v>0</v>
      </c>
      <c r="BW871" t="str">
        <f>"13:57:44.055"</f>
        <v>13:57:44.055</v>
      </c>
      <c r="CJ871">
        <v>0</v>
      </c>
      <c r="CK871">
        <v>2</v>
      </c>
      <c r="CL871">
        <v>0</v>
      </c>
      <c r="CM871">
        <v>2</v>
      </c>
      <c r="CN871">
        <v>0</v>
      </c>
      <c r="CO871">
        <v>7</v>
      </c>
      <c r="CP871" t="s">
        <v>119</v>
      </c>
      <c r="CQ871">
        <v>197</v>
      </c>
      <c r="CR871">
        <v>1</v>
      </c>
      <c r="CW871">
        <v>7441235</v>
      </c>
      <c r="CY871">
        <v>1</v>
      </c>
      <c r="CZ871">
        <v>0</v>
      </c>
      <c r="DA871">
        <v>0</v>
      </c>
      <c r="DB871">
        <v>0</v>
      </c>
      <c r="DC871">
        <v>0</v>
      </c>
      <c r="DD871">
        <v>1</v>
      </c>
      <c r="DE871">
        <v>0</v>
      </c>
      <c r="DF871">
        <v>0</v>
      </c>
      <c r="DG871">
        <v>0</v>
      </c>
      <c r="DH871">
        <v>0</v>
      </c>
      <c r="DI871">
        <v>0</v>
      </c>
    </row>
    <row r="872" spans="1:113" x14ac:dyDescent="0.3">
      <c r="A872" t="str">
        <f>"09/28/2021 13:57:44.277"</f>
        <v>09/28/2021 13:57:44.277</v>
      </c>
      <c r="C872" t="str">
        <f t="shared" si="44"/>
        <v>FFDFD3C0</v>
      </c>
      <c r="D872" t="s">
        <v>113</v>
      </c>
      <c r="E872">
        <v>7</v>
      </c>
      <c r="H872">
        <v>170</v>
      </c>
      <c r="I872" t="s">
        <v>114</v>
      </c>
      <c r="J872" t="s">
        <v>115</v>
      </c>
      <c r="K872">
        <v>0</v>
      </c>
      <c r="L872">
        <v>3</v>
      </c>
      <c r="M872">
        <v>0</v>
      </c>
      <c r="N872">
        <v>2</v>
      </c>
      <c r="O872">
        <v>1</v>
      </c>
      <c r="P872">
        <v>0</v>
      </c>
      <c r="Q872">
        <v>0</v>
      </c>
      <c r="S872" t="str">
        <f>"13:57:44.055"</f>
        <v>13:57:44.055</v>
      </c>
      <c r="T872" t="str">
        <f>"13:57:43.555"</f>
        <v>13:57:43.555</v>
      </c>
      <c r="U872" t="str">
        <f t="shared" si="43"/>
        <v>A92BC1</v>
      </c>
      <c r="V872">
        <v>0</v>
      </c>
      <c r="W872">
        <v>0</v>
      </c>
      <c r="X872">
        <v>2</v>
      </c>
      <c r="Z872">
        <v>0</v>
      </c>
      <c r="AA872">
        <v>9</v>
      </c>
      <c r="AB872">
        <v>3</v>
      </c>
      <c r="AC872">
        <v>0</v>
      </c>
      <c r="AD872">
        <v>10</v>
      </c>
      <c r="AE872">
        <v>0</v>
      </c>
      <c r="AF872">
        <v>3</v>
      </c>
      <c r="AG872">
        <v>2</v>
      </c>
      <c r="AH872">
        <v>0</v>
      </c>
      <c r="AI872" t="s">
        <v>972</v>
      </c>
      <c r="AJ872">
        <v>45.842449999999999</v>
      </c>
      <c r="AK872" t="s">
        <v>973</v>
      </c>
      <c r="AL872">
        <v>-89.183171000000002</v>
      </c>
      <c r="AM872">
        <v>100</v>
      </c>
      <c r="AN872">
        <v>14600</v>
      </c>
      <c r="AO872" t="s">
        <v>118</v>
      </c>
      <c r="AP872">
        <v>141</v>
      </c>
      <c r="AQ872">
        <v>118</v>
      </c>
      <c r="AR872">
        <v>1536</v>
      </c>
      <c r="AZ872">
        <v>1200</v>
      </c>
      <c r="BA872">
        <v>1</v>
      </c>
      <c r="BB872" t="str">
        <f t="shared" si="45"/>
        <v xml:space="preserve">N690LS  </v>
      </c>
      <c r="BC872">
        <v>1</v>
      </c>
      <c r="BE872">
        <v>0</v>
      </c>
      <c r="BF872">
        <v>0</v>
      </c>
      <c r="BG872">
        <v>0</v>
      </c>
      <c r="BH872">
        <v>15050</v>
      </c>
      <c r="BI872">
        <v>1</v>
      </c>
      <c r="BJ872">
        <v>1</v>
      </c>
      <c r="BK872">
        <v>1</v>
      </c>
      <c r="BL872">
        <v>0</v>
      </c>
      <c r="BO872">
        <v>0</v>
      </c>
      <c r="BP872">
        <v>0</v>
      </c>
      <c r="BW872" t="str">
        <f>"13:57:44.055"</f>
        <v>13:57:44.055</v>
      </c>
      <c r="CJ872">
        <v>0</v>
      </c>
      <c r="CK872">
        <v>2</v>
      </c>
      <c r="CL872">
        <v>0</v>
      </c>
      <c r="CM872">
        <v>2</v>
      </c>
      <c r="CN872">
        <v>0</v>
      </c>
      <c r="CO872">
        <v>7</v>
      </c>
      <c r="CP872" t="s">
        <v>119</v>
      </c>
      <c r="CQ872">
        <v>197</v>
      </c>
      <c r="CR872">
        <v>1</v>
      </c>
      <c r="CW872">
        <v>7441235</v>
      </c>
      <c r="CY872">
        <v>1</v>
      </c>
      <c r="CZ872">
        <v>0</v>
      </c>
      <c r="DA872">
        <v>1</v>
      </c>
      <c r="DB872">
        <v>0</v>
      </c>
      <c r="DC872">
        <v>0</v>
      </c>
      <c r="DD872">
        <v>1</v>
      </c>
      <c r="DE872">
        <v>0</v>
      </c>
      <c r="DF872">
        <v>0</v>
      </c>
      <c r="DG872">
        <v>0</v>
      </c>
      <c r="DH872">
        <v>0</v>
      </c>
      <c r="DI872">
        <v>0</v>
      </c>
    </row>
    <row r="873" spans="1:113" x14ac:dyDescent="0.3">
      <c r="A873" t="str">
        <f>"09/28/2021 13:57:45.387"</f>
        <v>09/28/2021 13:57:45.387</v>
      </c>
      <c r="C873" t="str">
        <f t="shared" si="44"/>
        <v>FFDFD3C0</v>
      </c>
      <c r="D873" t="s">
        <v>113</v>
      </c>
      <c r="E873">
        <v>7</v>
      </c>
      <c r="H873">
        <v>170</v>
      </c>
      <c r="I873" t="s">
        <v>114</v>
      </c>
      <c r="J873" t="s">
        <v>115</v>
      </c>
      <c r="K873">
        <v>0</v>
      </c>
      <c r="L873">
        <v>3</v>
      </c>
      <c r="M873">
        <v>0</v>
      </c>
      <c r="N873">
        <v>2</v>
      </c>
      <c r="O873">
        <v>1</v>
      </c>
      <c r="P873">
        <v>0</v>
      </c>
      <c r="Q873">
        <v>0</v>
      </c>
      <c r="S873" t="str">
        <f>"13:57:45.164"</f>
        <v>13:57:45.164</v>
      </c>
      <c r="T873" t="str">
        <f>"13:57:44.664"</f>
        <v>13:57:44.664</v>
      </c>
      <c r="U873" t="str">
        <f t="shared" si="43"/>
        <v>A92BC1</v>
      </c>
      <c r="V873">
        <v>0</v>
      </c>
      <c r="W873">
        <v>0</v>
      </c>
      <c r="X873">
        <v>2</v>
      </c>
      <c r="Z873">
        <v>0</v>
      </c>
      <c r="AA873">
        <v>9</v>
      </c>
      <c r="AB873">
        <v>3</v>
      </c>
      <c r="AC873">
        <v>0</v>
      </c>
      <c r="AD873">
        <v>10</v>
      </c>
      <c r="AE873">
        <v>0</v>
      </c>
      <c r="AF873">
        <v>3</v>
      </c>
      <c r="AG873">
        <v>2</v>
      </c>
      <c r="AH873">
        <v>0</v>
      </c>
      <c r="AI873" t="s">
        <v>974</v>
      </c>
      <c r="AJ873">
        <v>45.843071999999999</v>
      </c>
      <c r="AK873" t="s">
        <v>975</v>
      </c>
      <c r="AL873">
        <v>-89.182119</v>
      </c>
      <c r="AM873">
        <v>100</v>
      </c>
      <c r="AN873">
        <v>14600</v>
      </c>
      <c r="AO873" t="s">
        <v>118</v>
      </c>
      <c r="AP873">
        <v>142</v>
      </c>
      <c r="AQ873">
        <v>118</v>
      </c>
      <c r="AR873">
        <v>1472</v>
      </c>
      <c r="AZ873">
        <v>1200</v>
      </c>
      <c r="BA873">
        <v>1</v>
      </c>
      <c r="BB873" t="str">
        <f t="shared" si="45"/>
        <v xml:space="preserve">N690LS  </v>
      </c>
      <c r="BC873">
        <v>1</v>
      </c>
      <c r="BE873">
        <v>0</v>
      </c>
      <c r="BF873">
        <v>0</v>
      </c>
      <c r="BG873">
        <v>0</v>
      </c>
      <c r="BH873">
        <v>15075</v>
      </c>
      <c r="BI873">
        <v>1</v>
      </c>
      <c r="BJ873">
        <v>1</v>
      </c>
      <c r="BK873">
        <v>1</v>
      </c>
      <c r="BL873">
        <v>0</v>
      </c>
      <c r="BO873">
        <v>0</v>
      </c>
      <c r="BP873">
        <v>0</v>
      </c>
      <c r="BW873" t="str">
        <f>"13:57:45.171"</f>
        <v>13:57:45.171</v>
      </c>
      <c r="CJ873">
        <v>0</v>
      </c>
      <c r="CK873">
        <v>2</v>
      </c>
      <c r="CL873">
        <v>0</v>
      </c>
      <c r="CM873">
        <v>2</v>
      </c>
      <c r="CN873">
        <v>0</v>
      </c>
      <c r="CO873">
        <v>7</v>
      </c>
      <c r="CP873" t="s">
        <v>119</v>
      </c>
      <c r="CQ873">
        <v>197</v>
      </c>
      <c r="CR873">
        <v>1</v>
      </c>
      <c r="CW873">
        <v>7442465</v>
      </c>
      <c r="CY873">
        <v>1</v>
      </c>
      <c r="CZ873">
        <v>0</v>
      </c>
      <c r="DA873">
        <v>0</v>
      </c>
      <c r="DB873">
        <v>0</v>
      </c>
      <c r="DC873">
        <v>0</v>
      </c>
      <c r="DD873">
        <v>1</v>
      </c>
      <c r="DE873">
        <v>0</v>
      </c>
      <c r="DF873">
        <v>0</v>
      </c>
      <c r="DG873">
        <v>0</v>
      </c>
      <c r="DH873">
        <v>0</v>
      </c>
      <c r="DI873">
        <v>0</v>
      </c>
    </row>
    <row r="874" spans="1:113" x14ac:dyDescent="0.3">
      <c r="A874" t="str">
        <f>"09/28/2021 13:57:45.387"</f>
        <v>09/28/2021 13:57:45.387</v>
      </c>
      <c r="C874" t="str">
        <f t="shared" si="44"/>
        <v>FFDFD3C0</v>
      </c>
      <c r="D874" t="s">
        <v>120</v>
      </c>
      <c r="E874">
        <v>12</v>
      </c>
      <c r="F874">
        <v>1012</v>
      </c>
      <c r="G874" t="s">
        <v>114</v>
      </c>
      <c r="J874" t="s">
        <v>121</v>
      </c>
      <c r="K874">
        <v>0</v>
      </c>
      <c r="L874">
        <v>3</v>
      </c>
      <c r="M874">
        <v>0</v>
      </c>
      <c r="N874">
        <v>2</v>
      </c>
      <c r="O874">
        <v>1</v>
      </c>
      <c r="P874">
        <v>0</v>
      </c>
      <c r="Q874">
        <v>0</v>
      </c>
      <c r="S874" t="str">
        <f>"13:57:45.164"</f>
        <v>13:57:45.164</v>
      </c>
      <c r="T874" t="str">
        <f>"13:57:44.664"</f>
        <v>13:57:44.664</v>
      </c>
      <c r="U874" t="str">
        <f t="shared" si="43"/>
        <v>A92BC1</v>
      </c>
      <c r="V874">
        <v>0</v>
      </c>
      <c r="W874">
        <v>0</v>
      </c>
      <c r="X874">
        <v>2</v>
      </c>
      <c r="Z874">
        <v>0</v>
      </c>
      <c r="AA874">
        <v>9</v>
      </c>
      <c r="AB874">
        <v>3</v>
      </c>
      <c r="AC874">
        <v>0</v>
      </c>
      <c r="AD874">
        <v>10</v>
      </c>
      <c r="AE874">
        <v>0</v>
      </c>
      <c r="AF874">
        <v>3</v>
      </c>
      <c r="AG874">
        <v>2</v>
      </c>
      <c r="AH874">
        <v>0</v>
      </c>
      <c r="AI874" t="s">
        <v>974</v>
      </c>
      <c r="AJ874">
        <v>45.843071999999999</v>
      </c>
      <c r="AK874" t="s">
        <v>975</v>
      </c>
      <c r="AL874">
        <v>-89.182119</v>
      </c>
      <c r="AM874">
        <v>100</v>
      </c>
      <c r="AN874">
        <v>14600</v>
      </c>
      <c r="AO874" t="s">
        <v>118</v>
      </c>
      <c r="AP874">
        <v>142</v>
      </c>
      <c r="AQ874">
        <v>118</v>
      </c>
      <c r="AR874">
        <v>1472</v>
      </c>
      <c r="AZ874">
        <v>1200</v>
      </c>
      <c r="BA874">
        <v>1</v>
      </c>
      <c r="BB874" t="str">
        <f t="shared" si="45"/>
        <v xml:space="preserve">N690LS  </v>
      </c>
      <c r="BC874">
        <v>1</v>
      </c>
      <c r="BE874">
        <v>0</v>
      </c>
      <c r="BF874">
        <v>0</v>
      </c>
      <c r="BG874">
        <v>0</v>
      </c>
      <c r="BH874">
        <v>15075</v>
      </c>
      <c r="BI874">
        <v>1</v>
      </c>
      <c r="BJ874">
        <v>1</v>
      </c>
      <c r="BK874">
        <v>1</v>
      </c>
      <c r="BL874">
        <v>0</v>
      </c>
      <c r="BO874">
        <v>0</v>
      </c>
      <c r="BP874">
        <v>0</v>
      </c>
      <c r="BW874" t="str">
        <f>"13:57:45.171"</f>
        <v>13:57:45.171</v>
      </c>
      <c r="CJ874">
        <v>0</v>
      </c>
      <c r="CK874">
        <v>2</v>
      </c>
      <c r="CL874">
        <v>0</v>
      </c>
      <c r="CM874">
        <v>2</v>
      </c>
      <c r="CN874">
        <v>0</v>
      </c>
      <c r="CO874">
        <v>7</v>
      </c>
      <c r="CP874" t="s">
        <v>119</v>
      </c>
      <c r="CQ874">
        <v>197</v>
      </c>
      <c r="CR874">
        <v>1</v>
      </c>
      <c r="CW874">
        <v>7442465</v>
      </c>
      <c r="CY874">
        <v>1</v>
      </c>
      <c r="CZ874">
        <v>0</v>
      </c>
      <c r="DA874">
        <v>1</v>
      </c>
      <c r="DB874">
        <v>0</v>
      </c>
      <c r="DC874">
        <v>0</v>
      </c>
      <c r="DD874">
        <v>1</v>
      </c>
      <c r="DE874">
        <v>0</v>
      </c>
      <c r="DF874">
        <v>0</v>
      </c>
      <c r="DG874">
        <v>0</v>
      </c>
      <c r="DH874">
        <v>0</v>
      </c>
      <c r="DI874">
        <v>0</v>
      </c>
    </row>
    <row r="875" spans="1:113" x14ac:dyDescent="0.3">
      <c r="A875" t="str">
        <f>"09/28/2021 13:57:46.387"</f>
        <v>09/28/2021 13:57:46.387</v>
      </c>
      <c r="C875" t="str">
        <f t="shared" si="44"/>
        <v>FFDFD3C0</v>
      </c>
      <c r="D875" t="s">
        <v>120</v>
      </c>
      <c r="E875">
        <v>12</v>
      </c>
      <c r="F875">
        <v>1012</v>
      </c>
      <c r="G875" t="s">
        <v>114</v>
      </c>
      <c r="J875" t="s">
        <v>121</v>
      </c>
      <c r="K875">
        <v>0</v>
      </c>
      <c r="L875">
        <v>3</v>
      </c>
      <c r="M875">
        <v>0</v>
      </c>
      <c r="N875">
        <v>2</v>
      </c>
      <c r="O875">
        <v>1</v>
      </c>
      <c r="P875">
        <v>0</v>
      </c>
      <c r="Q875">
        <v>0</v>
      </c>
      <c r="S875" t="str">
        <f>"13:57:46.195"</f>
        <v>13:57:46.195</v>
      </c>
      <c r="T875" t="str">
        <f>"13:57:45.795"</f>
        <v>13:57:45.795</v>
      </c>
      <c r="U875" t="str">
        <f t="shared" si="43"/>
        <v>A92BC1</v>
      </c>
      <c r="V875">
        <v>0</v>
      </c>
      <c r="W875">
        <v>0</v>
      </c>
      <c r="X875">
        <v>2</v>
      </c>
      <c r="Z875">
        <v>0</v>
      </c>
      <c r="AA875">
        <v>9</v>
      </c>
      <c r="AB875">
        <v>3</v>
      </c>
      <c r="AC875">
        <v>0</v>
      </c>
      <c r="AD875">
        <v>10</v>
      </c>
      <c r="AE875">
        <v>0</v>
      </c>
      <c r="AF875">
        <v>3</v>
      </c>
      <c r="AG875">
        <v>2</v>
      </c>
      <c r="AH875">
        <v>0</v>
      </c>
      <c r="AI875" t="s">
        <v>976</v>
      </c>
      <c r="AJ875">
        <v>45.843608000000003</v>
      </c>
      <c r="AK875" t="s">
        <v>977</v>
      </c>
      <c r="AL875">
        <v>-89.181174999999996</v>
      </c>
      <c r="AM875">
        <v>100</v>
      </c>
      <c r="AN875">
        <v>14600</v>
      </c>
      <c r="AO875" t="s">
        <v>118</v>
      </c>
      <c r="AP875">
        <v>142</v>
      </c>
      <c r="AQ875">
        <v>118</v>
      </c>
      <c r="AR875">
        <v>1472</v>
      </c>
      <c r="AZ875">
        <v>1200</v>
      </c>
      <c r="BA875">
        <v>1</v>
      </c>
      <c r="BB875" t="str">
        <f t="shared" si="45"/>
        <v xml:space="preserve">N690LS  </v>
      </c>
      <c r="BC875">
        <v>1</v>
      </c>
      <c r="BE875">
        <v>0</v>
      </c>
      <c r="BF875">
        <v>0</v>
      </c>
      <c r="BG875">
        <v>0</v>
      </c>
      <c r="BH875">
        <v>15100</v>
      </c>
      <c r="BI875">
        <v>1</v>
      </c>
      <c r="BJ875">
        <v>1</v>
      </c>
      <c r="BK875">
        <v>1</v>
      </c>
      <c r="BL875">
        <v>0</v>
      </c>
      <c r="BO875">
        <v>0</v>
      </c>
      <c r="BP875">
        <v>0</v>
      </c>
      <c r="BW875" t="str">
        <f>"13:57:46.201"</f>
        <v>13:57:46.201</v>
      </c>
      <c r="CJ875">
        <v>0</v>
      </c>
      <c r="CK875">
        <v>2</v>
      </c>
      <c r="CL875">
        <v>0</v>
      </c>
      <c r="CM875">
        <v>2</v>
      </c>
      <c r="CN875">
        <v>0</v>
      </c>
      <c r="CO875">
        <v>7</v>
      </c>
      <c r="CP875" t="s">
        <v>119</v>
      </c>
      <c r="CQ875">
        <v>209</v>
      </c>
      <c r="CR875">
        <v>3</v>
      </c>
      <c r="CW875">
        <v>7245414</v>
      </c>
      <c r="CY875">
        <v>1</v>
      </c>
      <c r="CZ875">
        <v>0</v>
      </c>
      <c r="DA875">
        <v>0</v>
      </c>
      <c r="DB875">
        <v>0</v>
      </c>
      <c r="DC875">
        <v>0</v>
      </c>
      <c r="DD875">
        <v>1</v>
      </c>
      <c r="DE875">
        <v>0</v>
      </c>
      <c r="DF875">
        <v>0</v>
      </c>
      <c r="DG875">
        <v>0</v>
      </c>
      <c r="DH875">
        <v>0</v>
      </c>
      <c r="DI875">
        <v>0</v>
      </c>
    </row>
    <row r="876" spans="1:113" x14ac:dyDescent="0.3">
      <c r="A876" t="str">
        <f>"09/28/2021 13:57:46.387"</f>
        <v>09/28/2021 13:57:46.387</v>
      </c>
      <c r="C876" t="str">
        <f t="shared" si="44"/>
        <v>FFDFD3C0</v>
      </c>
      <c r="D876" t="s">
        <v>113</v>
      </c>
      <c r="E876">
        <v>7</v>
      </c>
      <c r="H876">
        <v>170</v>
      </c>
      <c r="I876" t="s">
        <v>114</v>
      </c>
      <c r="J876" t="s">
        <v>115</v>
      </c>
      <c r="K876">
        <v>0</v>
      </c>
      <c r="L876">
        <v>3</v>
      </c>
      <c r="M876">
        <v>0</v>
      </c>
      <c r="N876">
        <v>2</v>
      </c>
      <c r="O876">
        <v>1</v>
      </c>
      <c r="P876">
        <v>0</v>
      </c>
      <c r="Q876">
        <v>0</v>
      </c>
      <c r="S876" t="str">
        <f>"13:57:46.195"</f>
        <v>13:57:46.195</v>
      </c>
      <c r="T876" t="str">
        <f>"13:57:45.795"</f>
        <v>13:57:45.795</v>
      </c>
      <c r="U876" t="str">
        <f t="shared" si="43"/>
        <v>A92BC1</v>
      </c>
      <c r="V876">
        <v>0</v>
      </c>
      <c r="W876">
        <v>0</v>
      </c>
      <c r="X876">
        <v>2</v>
      </c>
      <c r="Z876">
        <v>0</v>
      </c>
      <c r="AA876">
        <v>9</v>
      </c>
      <c r="AB876">
        <v>3</v>
      </c>
      <c r="AC876">
        <v>0</v>
      </c>
      <c r="AD876">
        <v>10</v>
      </c>
      <c r="AE876">
        <v>0</v>
      </c>
      <c r="AF876">
        <v>3</v>
      </c>
      <c r="AG876">
        <v>2</v>
      </c>
      <c r="AH876">
        <v>0</v>
      </c>
      <c r="AI876" t="s">
        <v>976</v>
      </c>
      <c r="AJ876">
        <v>45.843608000000003</v>
      </c>
      <c r="AK876" t="s">
        <v>977</v>
      </c>
      <c r="AL876">
        <v>-89.181174999999996</v>
      </c>
      <c r="AM876">
        <v>100</v>
      </c>
      <c r="AN876">
        <v>14600</v>
      </c>
      <c r="AO876" t="s">
        <v>118</v>
      </c>
      <c r="AP876">
        <v>142</v>
      </c>
      <c r="AQ876">
        <v>118</v>
      </c>
      <c r="AR876">
        <v>1472</v>
      </c>
      <c r="AZ876">
        <v>1200</v>
      </c>
      <c r="BA876">
        <v>1</v>
      </c>
      <c r="BB876" t="str">
        <f t="shared" si="45"/>
        <v xml:space="preserve">N690LS  </v>
      </c>
      <c r="BC876">
        <v>1</v>
      </c>
      <c r="BE876">
        <v>0</v>
      </c>
      <c r="BF876">
        <v>0</v>
      </c>
      <c r="BG876">
        <v>0</v>
      </c>
      <c r="BH876">
        <v>15100</v>
      </c>
      <c r="BI876">
        <v>1</v>
      </c>
      <c r="BJ876">
        <v>1</v>
      </c>
      <c r="BK876">
        <v>1</v>
      </c>
      <c r="BL876">
        <v>0</v>
      </c>
      <c r="BO876">
        <v>0</v>
      </c>
      <c r="BP876">
        <v>0</v>
      </c>
      <c r="BW876" t="str">
        <f>"13:57:46.201"</f>
        <v>13:57:46.201</v>
      </c>
      <c r="CJ876">
        <v>0</v>
      </c>
      <c r="CK876">
        <v>2</v>
      </c>
      <c r="CL876">
        <v>0</v>
      </c>
      <c r="CM876">
        <v>2</v>
      </c>
      <c r="CN876">
        <v>0</v>
      </c>
      <c r="CO876">
        <v>7</v>
      </c>
      <c r="CP876" t="s">
        <v>119</v>
      </c>
      <c r="CQ876">
        <v>209</v>
      </c>
      <c r="CR876">
        <v>3</v>
      </c>
      <c r="CW876">
        <v>7245414</v>
      </c>
      <c r="CY876">
        <v>1</v>
      </c>
      <c r="CZ876">
        <v>0</v>
      </c>
      <c r="DA876">
        <v>1</v>
      </c>
      <c r="DB876">
        <v>0</v>
      </c>
      <c r="DC876">
        <v>0</v>
      </c>
      <c r="DD876">
        <v>1</v>
      </c>
      <c r="DE876">
        <v>0</v>
      </c>
      <c r="DF876">
        <v>0</v>
      </c>
      <c r="DG876">
        <v>0</v>
      </c>
      <c r="DH876">
        <v>0</v>
      </c>
      <c r="DI876">
        <v>0</v>
      </c>
    </row>
    <row r="877" spans="1:113" x14ac:dyDescent="0.3">
      <c r="A877" t="str">
        <f>"09/28/2021 13:57:47.352"</f>
        <v>09/28/2021 13:57:47.352</v>
      </c>
      <c r="C877" t="str">
        <f t="shared" si="44"/>
        <v>FFDFD3C0</v>
      </c>
      <c r="D877" t="s">
        <v>120</v>
      </c>
      <c r="E877">
        <v>12</v>
      </c>
      <c r="F877">
        <v>1012</v>
      </c>
      <c r="G877" t="s">
        <v>114</v>
      </c>
      <c r="J877" t="s">
        <v>121</v>
      </c>
      <c r="K877">
        <v>0</v>
      </c>
      <c r="L877">
        <v>3</v>
      </c>
      <c r="M877">
        <v>0</v>
      </c>
      <c r="N877">
        <v>2</v>
      </c>
      <c r="O877">
        <v>1</v>
      </c>
      <c r="P877">
        <v>0</v>
      </c>
      <c r="Q877">
        <v>0</v>
      </c>
      <c r="S877" t="str">
        <f>"13:57:47.125"</f>
        <v>13:57:47.125</v>
      </c>
      <c r="T877" t="str">
        <f>"13:57:46.725"</f>
        <v>13:57:46.725</v>
      </c>
      <c r="U877" t="str">
        <f t="shared" si="43"/>
        <v>A92BC1</v>
      </c>
      <c r="V877">
        <v>0</v>
      </c>
      <c r="W877">
        <v>0</v>
      </c>
      <c r="X877">
        <v>2</v>
      </c>
      <c r="Z877">
        <v>0</v>
      </c>
      <c r="AA877">
        <v>9</v>
      </c>
      <c r="AB877">
        <v>3</v>
      </c>
      <c r="AC877">
        <v>0</v>
      </c>
      <c r="AD877">
        <v>10</v>
      </c>
      <c r="AE877">
        <v>0</v>
      </c>
      <c r="AF877">
        <v>3</v>
      </c>
      <c r="AG877">
        <v>2</v>
      </c>
      <c r="AH877">
        <v>0</v>
      </c>
      <c r="AI877" t="s">
        <v>978</v>
      </c>
      <c r="AJ877">
        <v>45.844079999999998</v>
      </c>
      <c r="AK877" t="s">
        <v>979</v>
      </c>
      <c r="AL877">
        <v>-89.180359999999993</v>
      </c>
      <c r="AM877">
        <v>100</v>
      </c>
      <c r="AN877">
        <v>14600</v>
      </c>
      <c r="AO877" t="s">
        <v>118</v>
      </c>
      <c r="AP877">
        <v>142</v>
      </c>
      <c r="AQ877">
        <v>118</v>
      </c>
      <c r="AR877">
        <v>1472</v>
      </c>
      <c r="AZ877">
        <v>1200</v>
      </c>
      <c r="BA877">
        <v>1</v>
      </c>
      <c r="BB877" t="str">
        <f t="shared" si="45"/>
        <v xml:space="preserve">N690LS  </v>
      </c>
      <c r="BC877">
        <v>1</v>
      </c>
      <c r="BE877">
        <v>0</v>
      </c>
      <c r="BF877">
        <v>0</v>
      </c>
      <c r="BG877">
        <v>0</v>
      </c>
      <c r="BH877">
        <v>15125</v>
      </c>
      <c r="BI877">
        <v>1</v>
      </c>
      <c r="BJ877">
        <v>1</v>
      </c>
      <c r="BK877">
        <v>1</v>
      </c>
      <c r="BL877">
        <v>0</v>
      </c>
      <c r="BO877">
        <v>0</v>
      </c>
      <c r="BP877">
        <v>0</v>
      </c>
      <c r="BW877" t="str">
        <f>"13:57:47.125"</f>
        <v>13:57:47.125</v>
      </c>
      <c r="CJ877">
        <v>0</v>
      </c>
      <c r="CK877">
        <v>2</v>
      </c>
      <c r="CL877">
        <v>0</v>
      </c>
      <c r="CM877">
        <v>2</v>
      </c>
      <c r="CN877">
        <v>0</v>
      </c>
      <c r="CO877">
        <v>7</v>
      </c>
      <c r="CP877" t="s">
        <v>119</v>
      </c>
      <c r="CQ877">
        <v>209</v>
      </c>
      <c r="CR877">
        <v>3</v>
      </c>
      <c r="CW877">
        <v>7245688</v>
      </c>
      <c r="CY877">
        <v>1</v>
      </c>
      <c r="CZ877">
        <v>0</v>
      </c>
      <c r="DA877">
        <v>0</v>
      </c>
      <c r="DB877">
        <v>0</v>
      </c>
      <c r="DC877">
        <v>0</v>
      </c>
      <c r="DD877">
        <v>1</v>
      </c>
      <c r="DE877">
        <v>0</v>
      </c>
      <c r="DF877">
        <v>0</v>
      </c>
      <c r="DG877">
        <v>0</v>
      </c>
      <c r="DH877">
        <v>0</v>
      </c>
      <c r="DI877">
        <v>0</v>
      </c>
    </row>
    <row r="878" spans="1:113" x14ac:dyDescent="0.3">
      <c r="A878" t="str">
        <f>"09/28/2021 13:57:47.352"</f>
        <v>09/28/2021 13:57:47.352</v>
      </c>
      <c r="C878" t="str">
        <f t="shared" si="44"/>
        <v>FFDFD3C0</v>
      </c>
      <c r="D878" t="s">
        <v>113</v>
      </c>
      <c r="E878">
        <v>7</v>
      </c>
      <c r="H878">
        <v>170</v>
      </c>
      <c r="I878" t="s">
        <v>114</v>
      </c>
      <c r="J878" t="s">
        <v>115</v>
      </c>
      <c r="K878">
        <v>0</v>
      </c>
      <c r="L878">
        <v>3</v>
      </c>
      <c r="M878">
        <v>0</v>
      </c>
      <c r="N878">
        <v>2</v>
      </c>
      <c r="O878">
        <v>1</v>
      </c>
      <c r="P878">
        <v>0</v>
      </c>
      <c r="Q878">
        <v>0</v>
      </c>
      <c r="S878" t="str">
        <f>"13:57:47.125"</f>
        <v>13:57:47.125</v>
      </c>
      <c r="T878" t="str">
        <f>"13:57:46.725"</f>
        <v>13:57:46.725</v>
      </c>
      <c r="U878" t="str">
        <f t="shared" si="43"/>
        <v>A92BC1</v>
      </c>
      <c r="V878">
        <v>0</v>
      </c>
      <c r="W878">
        <v>0</v>
      </c>
      <c r="X878">
        <v>2</v>
      </c>
      <c r="Z878">
        <v>0</v>
      </c>
      <c r="AA878">
        <v>9</v>
      </c>
      <c r="AB878">
        <v>3</v>
      </c>
      <c r="AC878">
        <v>0</v>
      </c>
      <c r="AD878">
        <v>10</v>
      </c>
      <c r="AE878">
        <v>0</v>
      </c>
      <c r="AF878">
        <v>3</v>
      </c>
      <c r="AG878">
        <v>2</v>
      </c>
      <c r="AH878">
        <v>0</v>
      </c>
      <c r="AI878" t="s">
        <v>978</v>
      </c>
      <c r="AJ878">
        <v>45.844079999999998</v>
      </c>
      <c r="AK878" t="s">
        <v>979</v>
      </c>
      <c r="AL878">
        <v>-89.180359999999993</v>
      </c>
      <c r="AM878">
        <v>100</v>
      </c>
      <c r="AN878">
        <v>14600</v>
      </c>
      <c r="AO878" t="s">
        <v>118</v>
      </c>
      <c r="AP878">
        <v>142</v>
      </c>
      <c r="AQ878">
        <v>118</v>
      </c>
      <c r="AR878">
        <v>1472</v>
      </c>
      <c r="AZ878">
        <v>1200</v>
      </c>
      <c r="BA878">
        <v>1</v>
      </c>
      <c r="BB878" t="str">
        <f t="shared" si="45"/>
        <v xml:space="preserve">N690LS  </v>
      </c>
      <c r="BC878">
        <v>1</v>
      </c>
      <c r="BE878">
        <v>0</v>
      </c>
      <c r="BF878">
        <v>0</v>
      </c>
      <c r="BG878">
        <v>0</v>
      </c>
      <c r="BH878">
        <v>15125</v>
      </c>
      <c r="BI878">
        <v>1</v>
      </c>
      <c r="BJ878">
        <v>1</v>
      </c>
      <c r="BK878">
        <v>1</v>
      </c>
      <c r="BL878">
        <v>0</v>
      </c>
      <c r="BO878">
        <v>0</v>
      </c>
      <c r="BP878">
        <v>0</v>
      </c>
      <c r="BW878" t="str">
        <f>"13:57:47.125"</f>
        <v>13:57:47.125</v>
      </c>
      <c r="CJ878">
        <v>0</v>
      </c>
      <c r="CK878">
        <v>2</v>
      </c>
      <c r="CL878">
        <v>0</v>
      </c>
      <c r="CM878">
        <v>2</v>
      </c>
      <c r="CN878">
        <v>0</v>
      </c>
      <c r="CO878">
        <v>7</v>
      </c>
      <c r="CP878" t="s">
        <v>119</v>
      </c>
      <c r="CQ878">
        <v>209</v>
      </c>
      <c r="CR878">
        <v>3</v>
      </c>
      <c r="CW878">
        <v>7245688</v>
      </c>
      <c r="CY878">
        <v>1</v>
      </c>
      <c r="CZ878">
        <v>0</v>
      </c>
      <c r="DA878">
        <v>1</v>
      </c>
      <c r="DB878">
        <v>0</v>
      </c>
      <c r="DC878">
        <v>0</v>
      </c>
      <c r="DD878">
        <v>1</v>
      </c>
      <c r="DE878">
        <v>0</v>
      </c>
      <c r="DF878">
        <v>0</v>
      </c>
      <c r="DG878">
        <v>0</v>
      </c>
      <c r="DH878">
        <v>0</v>
      </c>
      <c r="DI878">
        <v>0</v>
      </c>
    </row>
    <row r="879" spans="1:113" x14ac:dyDescent="0.3">
      <c r="A879" t="str">
        <f>"09/28/2021 13:57:48.290"</f>
        <v>09/28/2021 13:57:48.290</v>
      </c>
      <c r="C879" t="str">
        <f t="shared" si="44"/>
        <v>FFDFD3C0</v>
      </c>
      <c r="D879" t="s">
        <v>120</v>
      </c>
      <c r="E879">
        <v>12</v>
      </c>
      <c r="F879">
        <v>1012</v>
      </c>
      <c r="G879" t="s">
        <v>114</v>
      </c>
      <c r="J879" t="s">
        <v>121</v>
      </c>
      <c r="K879">
        <v>0</v>
      </c>
      <c r="L879">
        <v>3</v>
      </c>
      <c r="M879">
        <v>0</v>
      </c>
      <c r="N879">
        <v>2</v>
      </c>
      <c r="O879">
        <v>1</v>
      </c>
      <c r="P879">
        <v>0</v>
      </c>
      <c r="Q879">
        <v>0</v>
      </c>
      <c r="S879" t="str">
        <f>"13:57:48.070"</f>
        <v>13:57:48.070</v>
      </c>
      <c r="T879" t="str">
        <f>"13:57:47.670"</f>
        <v>13:57:47.670</v>
      </c>
      <c r="U879" t="str">
        <f t="shared" si="43"/>
        <v>A92BC1</v>
      </c>
      <c r="V879">
        <v>0</v>
      </c>
      <c r="W879">
        <v>0</v>
      </c>
      <c r="X879">
        <v>2</v>
      </c>
      <c r="Z879">
        <v>0</v>
      </c>
      <c r="AA879">
        <v>9</v>
      </c>
      <c r="AB879">
        <v>3</v>
      </c>
      <c r="AC879">
        <v>0</v>
      </c>
      <c r="AD879">
        <v>10</v>
      </c>
      <c r="AE879">
        <v>0</v>
      </c>
      <c r="AF879">
        <v>3</v>
      </c>
      <c r="AG879">
        <v>2</v>
      </c>
      <c r="AH879">
        <v>0</v>
      </c>
      <c r="AI879" t="s">
        <v>980</v>
      </c>
      <c r="AJ879">
        <v>45.844638000000003</v>
      </c>
      <c r="AK879" t="s">
        <v>981</v>
      </c>
      <c r="AL879">
        <v>-89.179394000000002</v>
      </c>
      <c r="AM879">
        <v>100</v>
      </c>
      <c r="AN879">
        <v>14600</v>
      </c>
      <c r="AO879" t="s">
        <v>118</v>
      </c>
      <c r="AP879">
        <v>142</v>
      </c>
      <c r="AQ879">
        <v>118</v>
      </c>
      <c r="AR879">
        <v>1472</v>
      </c>
      <c r="AZ879">
        <v>1200</v>
      </c>
      <c r="BA879">
        <v>1</v>
      </c>
      <c r="BB879" t="str">
        <f t="shared" si="45"/>
        <v xml:space="preserve">N690LS  </v>
      </c>
      <c r="BC879">
        <v>1</v>
      </c>
      <c r="BE879">
        <v>0</v>
      </c>
      <c r="BF879">
        <v>0</v>
      </c>
      <c r="BG879">
        <v>0</v>
      </c>
      <c r="BH879">
        <v>15150</v>
      </c>
      <c r="BI879">
        <v>1</v>
      </c>
      <c r="BJ879">
        <v>1</v>
      </c>
      <c r="BK879">
        <v>1</v>
      </c>
      <c r="BL879">
        <v>0</v>
      </c>
      <c r="BO879">
        <v>0</v>
      </c>
      <c r="BP879">
        <v>0</v>
      </c>
      <c r="BW879" t="str">
        <f>"13:57:48.077"</f>
        <v>13:57:48.077</v>
      </c>
      <c r="CJ879">
        <v>0</v>
      </c>
      <c r="CK879">
        <v>2</v>
      </c>
      <c r="CL879">
        <v>0</v>
      </c>
      <c r="CM879">
        <v>2</v>
      </c>
      <c r="CN879">
        <v>0</v>
      </c>
      <c r="CO879">
        <v>7</v>
      </c>
      <c r="CP879" t="s">
        <v>119</v>
      </c>
      <c r="CQ879">
        <v>209</v>
      </c>
      <c r="CR879">
        <v>3</v>
      </c>
      <c r="CW879">
        <v>7245953</v>
      </c>
      <c r="CY879">
        <v>1</v>
      </c>
      <c r="CZ879">
        <v>0</v>
      </c>
      <c r="DA879">
        <v>0</v>
      </c>
      <c r="DB879">
        <v>0</v>
      </c>
      <c r="DC879">
        <v>0</v>
      </c>
      <c r="DD879">
        <v>1</v>
      </c>
      <c r="DE879">
        <v>0</v>
      </c>
      <c r="DF879">
        <v>0</v>
      </c>
      <c r="DG879">
        <v>0</v>
      </c>
      <c r="DH879">
        <v>0</v>
      </c>
      <c r="DI879">
        <v>0</v>
      </c>
    </row>
    <row r="880" spans="1:113" x14ac:dyDescent="0.3">
      <c r="A880" t="str">
        <f>"09/28/2021 13:57:48.290"</f>
        <v>09/28/2021 13:57:48.290</v>
      </c>
      <c r="C880" t="str">
        <f t="shared" si="44"/>
        <v>FFDFD3C0</v>
      </c>
      <c r="D880" t="s">
        <v>113</v>
      </c>
      <c r="E880">
        <v>7</v>
      </c>
      <c r="H880">
        <v>170</v>
      </c>
      <c r="I880" t="s">
        <v>114</v>
      </c>
      <c r="J880" t="s">
        <v>115</v>
      </c>
      <c r="K880">
        <v>0</v>
      </c>
      <c r="L880">
        <v>3</v>
      </c>
      <c r="M880">
        <v>0</v>
      </c>
      <c r="N880">
        <v>2</v>
      </c>
      <c r="O880">
        <v>1</v>
      </c>
      <c r="P880">
        <v>0</v>
      </c>
      <c r="Q880">
        <v>0</v>
      </c>
      <c r="S880" t="str">
        <f>"13:57:48.070"</f>
        <v>13:57:48.070</v>
      </c>
      <c r="T880" t="str">
        <f>"13:57:47.670"</f>
        <v>13:57:47.670</v>
      </c>
      <c r="U880" t="str">
        <f t="shared" si="43"/>
        <v>A92BC1</v>
      </c>
      <c r="V880">
        <v>0</v>
      </c>
      <c r="W880">
        <v>0</v>
      </c>
      <c r="X880">
        <v>2</v>
      </c>
      <c r="Z880">
        <v>0</v>
      </c>
      <c r="AA880">
        <v>9</v>
      </c>
      <c r="AB880">
        <v>3</v>
      </c>
      <c r="AC880">
        <v>0</v>
      </c>
      <c r="AD880">
        <v>10</v>
      </c>
      <c r="AE880">
        <v>0</v>
      </c>
      <c r="AF880">
        <v>3</v>
      </c>
      <c r="AG880">
        <v>2</v>
      </c>
      <c r="AH880">
        <v>0</v>
      </c>
      <c r="AI880" t="s">
        <v>980</v>
      </c>
      <c r="AJ880">
        <v>45.844638000000003</v>
      </c>
      <c r="AK880" t="s">
        <v>981</v>
      </c>
      <c r="AL880">
        <v>-89.179394000000002</v>
      </c>
      <c r="AM880">
        <v>100</v>
      </c>
      <c r="AN880">
        <v>14600</v>
      </c>
      <c r="AO880" t="s">
        <v>118</v>
      </c>
      <c r="AP880">
        <v>142</v>
      </c>
      <c r="AQ880">
        <v>118</v>
      </c>
      <c r="AR880">
        <v>1472</v>
      </c>
      <c r="AZ880">
        <v>1200</v>
      </c>
      <c r="BA880">
        <v>1</v>
      </c>
      <c r="BB880" t="str">
        <f t="shared" si="45"/>
        <v xml:space="preserve">N690LS  </v>
      </c>
      <c r="BC880">
        <v>1</v>
      </c>
      <c r="BE880">
        <v>0</v>
      </c>
      <c r="BF880">
        <v>0</v>
      </c>
      <c r="BG880">
        <v>0</v>
      </c>
      <c r="BH880">
        <v>15150</v>
      </c>
      <c r="BI880">
        <v>1</v>
      </c>
      <c r="BJ880">
        <v>1</v>
      </c>
      <c r="BK880">
        <v>1</v>
      </c>
      <c r="BL880">
        <v>0</v>
      </c>
      <c r="BO880">
        <v>0</v>
      </c>
      <c r="BP880">
        <v>0</v>
      </c>
      <c r="BW880" t="str">
        <f>"13:57:48.077"</f>
        <v>13:57:48.077</v>
      </c>
      <c r="CJ880">
        <v>0</v>
      </c>
      <c r="CK880">
        <v>2</v>
      </c>
      <c r="CL880">
        <v>0</v>
      </c>
      <c r="CM880">
        <v>2</v>
      </c>
      <c r="CN880">
        <v>0</v>
      </c>
      <c r="CO880">
        <v>7</v>
      </c>
      <c r="CP880" t="s">
        <v>119</v>
      </c>
      <c r="CQ880">
        <v>209</v>
      </c>
      <c r="CR880">
        <v>3</v>
      </c>
      <c r="CW880">
        <v>7245953</v>
      </c>
      <c r="CY880">
        <v>1</v>
      </c>
      <c r="CZ880">
        <v>0</v>
      </c>
      <c r="DA880">
        <v>1</v>
      </c>
      <c r="DB880">
        <v>0</v>
      </c>
      <c r="DC880">
        <v>0</v>
      </c>
      <c r="DD880">
        <v>1</v>
      </c>
      <c r="DE880">
        <v>0</v>
      </c>
      <c r="DF880">
        <v>0</v>
      </c>
      <c r="DG880">
        <v>0</v>
      </c>
      <c r="DH880">
        <v>0</v>
      </c>
      <c r="DI880">
        <v>0</v>
      </c>
    </row>
    <row r="881" spans="1:113" x14ac:dyDescent="0.3">
      <c r="A881" t="str">
        <f>"09/28/2021 13:57:49.182"</f>
        <v>09/28/2021 13:57:49.182</v>
      </c>
      <c r="C881" t="str">
        <f t="shared" si="44"/>
        <v>FFDFD3C0</v>
      </c>
      <c r="D881" t="s">
        <v>120</v>
      </c>
      <c r="E881">
        <v>12</v>
      </c>
      <c r="F881">
        <v>1012</v>
      </c>
      <c r="G881" t="s">
        <v>114</v>
      </c>
      <c r="J881" t="s">
        <v>121</v>
      </c>
      <c r="K881">
        <v>0</v>
      </c>
      <c r="L881">
        <v>3</v>
      </c>
      <c r="M881">
        <v>0</v>
      </c>
      <c r="N881">
        <v>2</v>
      </c>
      <c r="O881">
        <v>1</v>
      </c>
      <c r="P881">
        <v>0</v>
      </c>
      <c r="Q881">
        <v>0</v>
      </c>
      <c r="S881" t="str">
        <f>"13:57:48.953"</f>
        <v>13:57:48.953</v>
      </c>
      <c r="T881" t="str">
        <f>"13:57:48.553"</f>
        <v>13:57:48.553</v>
      </c>
      <c r="U881" t="str">
        <f t="shared" si="43"/>
        <v>A92BC1</v>
      </c>
      <c r="V881">
        <v>0</v>
      </c>
      <c r="W881">
        <v>0</v>
      </c>
      <c r="X881">
        <v>2</v>
      </c>
      <c r="Z881">
        <v>0</v>
      </c>
      <c r="AA881">
        <v>9</v>
      </c>
      <c r="AB881">
        <v>3</v>
      </c>
      <c r="AC881">
        <v>0</v>
      </c>
      <c r="AD881">
        <v>10</v>
      </c>
      <c r="AE881">
        <v>0</v>
      </c>
      <c r="AF881">
        <v>3</v>
      </c>
      <c r="AG881">
        <v>2</v>
      </c>
      <c r="AH881">
        <v>0</v>
      </c>
      <c r="AI881" t="s">
        <v>982</v>
      </c>
      <c r="AJ881">
        <v>45.845132</v>
      </c>
      <c r="AK881" t="s">
        <v>983</v>
      </c>
      <c r="AL881">
        <v>-89.178578999999999</v>
      </c>
      <c r="AM881">
        <v>100</v>
      </c>
      <c r="AN881">
        <v>14700</v>
      </c>
      <c r="AO881" t="s">
        <v>118</v>
      </c>
      <c r="AP881">
        <v>142</v>
      </c>
      <c r="AQ881">
        <v>117</v>
      </c>
      <c r="AR881">
        <v>1472</v>
      </c>
      <c r="AZ881">
        <v>1200</v>
      </c>
      <c r="BA881">
        <v>1</v>
      </c>
      <c r="BB881" t="str">
        <f t="shared" si="45"/>
        <v xml:space="preserve">N690LS  </v>
      </c>
      <c r="BC881">
        <v>1</v>
      </c>
      <c r="BE881">
        <v>0</v>
      </c>
      <c r="BF881">
        <v>0</v>
      </c>
      <c r="BG881">
        <v>0</v>
      </c>
      <c r="BH881">
        <v>15175</v>
      </c>
      <c r="BI881">
        <v>1</v>
      </c>
      <c r="BJ881">
        <v>1</v>
      </c>
      <c r="BK881">
        <v>1</v>
      </c>
      <c r="BL881">
        <v>0</v>
      </c>
      <c r="BO881">
        <v>0</v>
      </c>
      <c r="BP881">
        <v>0</v>
      </c>
      <c r="BW881" t="str">
        <f>"13:57:48.957"</f>
        <v>13:57:48.957</v>
      </c>
      <c r="CJ881">
        <v>0</v>
      </c>
      <c r="CK881">
        <v>2</v>
      </c>
      <c r="CL881">
        <v>0</v>
      </c>
      <c r="CM881">
        <v>2</v>
      </c>
      <c r="CN881">
        <v>0</v>
      </c>
      <c r="CO881">
        <v>7</v>
      </c>
      <c r="CP881" t="s">
        <v>119</v>
      </c>
      <c r="CQ881">
        <v>197</v>
      </c>
      <c r="CR881">
        <v>1</v>
      </c>
      <c r="CW881">
        <v>7447064</v>
      </c>
      <c r="CY881">
        <v>1</v>
      </c>
      <c r="CZ881">
        <v>0</v>
      </c>
      <c r="DA881">
        <v>0</v>
      </c>
      <c r="DB881">
        <v>0</v>
      </c>
      <c r="DC881">
        <v>0</v>
      </c>
      <c r="DD881">
        <v>1</v>
      </c>
      <c r="DE881">
        <v>0</v>
      </c>
      <c r="DF881">
        <v>0</v>
      </c>
      <c r="DG881">
        <v>0</v>
      </c>
      <c r="DH881">
        <v>0</v>
      </c>
      <c r="DI881">
        <v>0</v>
      </c>
    </row>
    <row r="882" spans="1:113" x14ac:dyDescent="0.3">
      <c r="A882" t="str">
        <f>"09/28/2021 13:57:49.182"</f>
        <v>09/28/2021 13:57:49.182</v>
      </c>
      <c r="C882" t="str">
        <f t="shared" si="44"/>
        <v>FFDFD3C0</v>
      </c>
      <c r="D882" t="s">
        <v>113</v>
      </c>
      <c r="E882">
        <v>7</v>
      </c>
      <c r="H882">
        <v>170</v>
      </c>
      <c r="I882" t="s">
        <v>114</v>
      </c>
      <c r="J882" t="s">
        <v>115</v>
      </c>
      <c r="K882">
        <v>0</v>
      </c>
      <c r="L882">
        <v>3</v>
      </c>
      <c r="M882">
        <v>0</v>
      </c>
      <c r="N882">
        <v>2</v>
      </c>
      <c r="O882">
        <v>1</v>
      </c>
      <c r="P882">
        <v>0</v>
      </c>
      <c r="Q882">
        <v>0</v>
      </c>
      <c r="S882" t="str">
        <f>"13:57:48.953"</f>
        <v>13:57:48.953</v>
      </c>
      <c r="T882" t="str">
        <f>"13:57:48.553"</f>
        <v>13:57:48.553</v>
      </c>
      <c r="U882" t="str">
        <f t="shared" si="43"/>
        <v>A92BC1</v>
      </c>
      <c r="V882">
        <v>0</v>
      </c>
      <c r="W882">
        <v>0</v>
      </c>
      <c r="X882">
        <v>2</v>
      </c>
      <c r="Z882">
        <v>0</v>
      </c>
      <c r="AA882">
        <v>9</v>
      </c>
      <c r="AB882">
        <v>3</v>
      </c>
      <c r="AC882">
        <v>0</v>
      </c>
      <c r="AD882">
        <v>10</v>
      </c>
      <c r="AE882">
        <v>0</v>
      </c>
      <c r="AF882">
        <v>3</v>
      </c>
      <c r="AG882">
        <v>2</v>
      </c>
      <c r="AH882">
        <v>0</v>
      </c>
      <c r="AI882" t="s">
        <v>982</v>
      </c>
      <c r="AJ882">
        <v>45.845132</v>
      </c>
      <c r="AK882" t="s">
        <v>983</v>
      </c>
      <c r="AL882">
        <v>-89.178578999999999</v>
      </c>
      <c r="AM882">
        <v>100</v>
      </c>
      <c r="AN882">
        <v>14700</v>
      </c>
      <c r="AO882" t="s">
        <v>118</v>
      </c>
      <c r="AP882">
        <v>142</v>
      </c>
      <c r="AQ882">
        <v>117</v>
      </c>
      <c r="AR882">
        <v>1472</v>
      </c>
      <c r="AZ882">
        <v>1200</v>
      </c>
      <c r="BA882">
        <v>1</v>
      </c>
      <c r="BB882" t="str">
        <f t="shared" si="45"/>
        <v xml:space="preserve">N690LS  </v>
      </c>
      <c r="BC882">
        <v>1</v>
      </c>
      <c r="BE882">
        <v>0</v>
      </c>
      <c r="BF882">
        <v>0</v>
      </c>
      <c r="BG882">
        <v>0</v>
      </c>
      <c r="BH882">
        <v>15175</v>
      </c>
      <c r="BI882">
        <v>1</v>
      </c>
      <c r="BJ882">
        <v>1</v>
      </c>
      <c r="BK882">
        <v>1</v>
      </c>
      <c r="BL882">
        <v>0</v>
      </c>
      <c r="BO882">
        <v>0</v>
      </c>
      <c r="BP882">
        <v>0</v>
      </c>
      <c r="BW882" t="str">
        <f>"13:57:48.957"</f>
        <v>13:57:48.957</v>
      </c>
      <c r="CJ882">
        <v>0</v>
      </c>
      <c r="CK882">
        <v>2</v>
      </c>
      <c r="CL882">
        <v>0</v>
      </c>
      <c r="CM882">
        <v>2</v>
      </c>
      <c r="CN882">
        <v>0</v>
      </c>
      <c r="CO882">
        <v>7</v>
      </c>
      <c r="CP882" t="s">
        <v>119</v>
      </c>
      <c r="CQ882">
        <v>197</v>
      </c>
      <c r="CR882">
        <v>1</v>
      </c>
      <c r="CW882">
        <v>7447064</v>
      </c>
      <c r="CY882">
        <v>1</v>
      </c>
      <c r="CZ882">
        <v>0</v>
      </c>
      <c r="DA882">
        <v>1</v>
      </c>
      <c r="DB882">
        <v>0</v>
      </c>
      <c r="DC882">
        <v>0</v>
      </c>
      <c r="DD882">
        <v>1</v>
      </c>
      <c r="DE882">
        <v>0</v>
      </c>
      <c r="DF882">
        <v>0</v>
      </c>
      <c r="DG882">
        <v>0</v>
      </c>
      <c r="DH882">
        <v>0</v>
      </c>
      <c r="DI882">
        <v>0</v>
      </c>
    </row>
    <row r="883" spans="1:113" x14ac:dyDescent="0.3">
      <c r="A883" t="str">
        <f>"09/28/2021 13:57:50.229"</f>
        <v>09/28/2021 13:57:50.229</v>
      </c>
      <c r="C883" t="str">
        <f t="shared" si="44"/>
        <v>FFDFD3C0</v>
      </c>
      <c r="D883" t="s">
        <v>120</v>
      </c>
      <c r="E883">
        <v>12</v>
      </c>
      <c r="F883">
        <v>1012</v>
      </c>
      <c r="G883" t="s">
        <v>114</v>
      </c>
      <c r="J883" t="s">
        <v>121</v>
      </c>
      <c r="K883">
        <v>0</v>
      </c>
      <c r="L883">
        <v>3</v>
      </c>
      <c r="M883">
        <v>0</v>
      </c>
      <c r="N883">
        <v>2</v>
      </c>
      <c r="O883">
        <v>1</v>
      </c>
      <c r="P883">
        <v>0</v>
      </c>
      <c r="Q883">
        <v>0</v>
      </c>
      <c r="S883" t="str">
        <f>"13:57:50.047"</f>
        <v>13:57:50.047</v>
      </c>
      <c r="T883" t="str">
        <f>"13:57:49.547"</f>
        <v>13:57:49.547</v>
      </c>
      <c r="U883" t="str">
        <f t="shared" si="43"/>
        <v>A92BC1</v>
      </c>
      <c r="V883">
        <v>0</v>
      </c>
      <c r="W883">
        <v>0</v>
      </c>
      <c r="X883">
        <v>2</v>
      </c>
      <c r="Z883">
        <v>0</v>
      </c>
      <c r="AA883">
        <v>9</v>
      </c>
      <c r="AB883">
        <v>3</v>
      </c>
      <c r="AC883">
        <v>0</v>
      </c>
      <c r="AD883">
        <v>10</v>
      </c>
      <c r="AE883">
        <v>0</v>
      </c>
      <c r="AF883">
        <v>3</v>
      </c>
      <c r="AG883">
        <v>2</v>
      </c>
      <c r="AH883">
        <v>0</v>
      </c>
      <c r="AI883" t="s">
        <v>984</v>
      </c>
      <c r="AJ883">
        <v>45.845711000000001</v>
      </c>
      <c r="AK883" t="s">
        <v>985</v>
      </c>
      <c r="AL883">
        <v>-89.177526999999998</v>
      </c>
      <c r="AM883">
        <v>100</v>
      </c>
      <c r="AN883">
        <v>14700</v>
      </c>
      <c r="AO883" t="s">
        <v>118</v>
      </c>
      <c r="AP883">
        <v>142</v>
      </c>
      <c r="AQ883">
        <v>117</v>
      </c>
      <c r="AR883">
        <v>1472</v>
      </c>
      <c r="AZ883">
        <v>1200</v>
      </c>
      <c r="BA883">
        <v>1</v>
      </c>
      <c r="BB883" t="str">
        <f t="shared" si="45"/>
        <v xml:space="preserve">N690LS  </v>
      </c>
      <c r="BC883">
        <v>1</v>
      </c>
      <c r="BE883">
        <v>0</v>
      </c>
      <c r="BF883">
        <v>0</v>
      </c>
      <c r="BG883">
        <v>0</v>
      </c>
      <c r="BH883">
        <v>15200</v>
      </c>
      <c r="BI883">
        <v>1</v>
      </c>
      <c r="BJ883">
        <v>1</v>
      </c>
      <c r="BK883">
        <v>1</v>
      </c>
      <c r="BL883">
        <v>0</v>
      </c>
      <c r="BO883">
        <v>0</v>
      </c>
      <c r="BP883">
        <v>0</v>
      </c>
      <c r="BW883" t="str">
        <f>"13:57:50.048"</f>
        <v>13:57:50.048</v>
      </c>
      <c r="CJ883">
        <v>0</v>
      </c>
      <c r="CK883">
        <v>2</v>
      </c>
      <c r="CL883">
        <v>0</v>
      </c>
      <c r="CM883">
        <v>2</v>
      </c>
      <c r="CN883">
        <v>0</v>
      </c>
      <c r="CO883">
        <v>7</v>
      </c>
      <c r="CP883" t="s">
        <v>119</v>
      </c>
      <c r="CQ883">
        <v>197</v>
      </c>
      <c r="CR883">
        <v>0</v>
      </c>
      <c r="CW883">
        <v>16066083</v>
      </c>
      <c r="CY883">
        <v>1</v>
      </c>
      <c r="CZ883">
        <v>0</v>
      </c>
      <c r="DA883">
        <v>0</v>
      </c>
      <c r="DB883">
        <v>0</v>
      </c>
      <c r="DC883">
        <v>0</v>
      </c>
      <c r="DD883">
        <v>1</v>
      </c>
      <c r="DE883">
        <v>0</v>
      </c>
      <c r="DF883">
        <v>0</v>
      </c>
      <c r="DG883">
        <v>0</v>
      </c>
      <c r="DH883">
        <v>0</v>
      </c>
      <c r="DI883">
        <v>0</v>
      </c>
    </row>
    <row r="884" spans="1:113" x14ac:dyDescent="0.3">
      <c r="A884" t="str">
        <f>"09/28/2021 13:57:50.229"</f>
        <v>09/28/2021 13:57:50.229</v>
      </c>
      <c r="C884" t="str">
        <f t="shared" si="44"/>
        <v>FFDFD3C0</v>
      </c>
      <c r="D884" t="s">
        <v>113</v>
      </c>
      <c r="E884">
        <v>7</v>
      </c>
      <c r="H884">
        <v>170</v>
      </c>
      <c r="I884" t="s">
        <v>114</v>
      </c>
      <c r="J884" t="s">
        <v>115</v>
      </c>
      <c r="K884">
        <v>0</v>
      </c>
      <c r="L884">
        <v>3</v>
      </c>
      <c r="M884">
        <v>0</v>
      </c>
      <c r="N884">
        <v>2</v>
      </c>
      <c r="O884">
        <v>1</v>
      </c>
      <c r="P884">
        <v>0</v>
      </c>
      <c r="Q884">
        <v>0</v>
      </c>
      <c r="S884" t="str">
        <f>"13:57:50.047"</f>
        <v>13:57:50.047</v>
      </c>
      <c r="T884" t="str">
        <f>"13:57:49.547"</f>
        <v>13:57:49.547</v>
      </c>
      <c r="U884" t="str">
        <f t="shared" si="43"/>
        <v>A92BC1</v>
      </c>
      <c r="V884">
        <v>0</v>
      </c>
      <c r="W884">
        <v>0</v>
      </c>
      <c r="X884">
        <v>2</v>
      </c>
      <c r="Z884">
        <v>0</v>
      </c>
      <c r="AA884">
        <v>9</v>
      </c>
      <c r="AB884">
        <v>3</v>
      </c>
      <c r="AC884">
        <v>0</v>
      </c>
      <c r="AD884">
        <v>10</v>
      </c>
      <c r="AE884">
        <v>0</v>
      </c>
      <c r="AF884">
        <v>3</v>
      </c>
      <c r="AG884">
        <v>2</v>
      </c>
      <c r="AH884">
        <v>0</v>
      </c>
      <c r="AI884" t="s">
        <v>984</v>
      </c>
      <c r="AJ884">
        <v>45.845711000000001</v>
      </c>
      <c r="AK884" t="s">
        <v>985</v>
      </c>
      <c r="AL884">
        <v>-89.177526999999998</v>
      </c>
      <c r="AM884">
        <v>100</v>
      </c>
      <c r="AN884">
        <v>14700</v>
      </c>
      <c r="AO884" t="s">
        <v>118</v>
      </c>
      <c r="AP884">
        <v>142</v>
      </c>
      <c r="AQ884">
        <v>117</v>
      </c>
      <c r="AR884">
        <v>1472</v>
      </c>
      <c r="AZ884">
        <v>1200</v>
      </c>
      <c r="BA884">
        <v>1</v>
      </c>
      <c r="BB884" t="str">
        <f t="shared" si="45"/>
        <v xml:space="preserve">N690LS  </v>
      </c>
      <c r="BC884">
        <v>1</v>
      </c>
      <c r="BE884">
        <v>0</v>
      </c>
      <c r="BF884">
        <v>0</v>
      </c>
      <c r="BG884">
        <v>0</v>
      </c>
      <c r="BH884">
        <v>15200</v>
      </c>
      <c r="BI884">
        <v>1</v>
      </c>
      <c r="BJ884">
        <v>1</v>
      </c>
      <c r="BK884">
        <v>1</v>
      </c>
      <c r="BL884">
        <v>0</v>
      </c>
      <c r="BO884">
        <v>0</v>
      </c>
      <c r="BP884">
        <v>0</v>
      </c>
      <c r="BW884" t="str">
        <f>"13:57:50.048"</f>
        <v>13:57:50.048</v>
      </c>
      <c r="CJ884">
        <v>0</v>
      </c>
      <c r="CK884">
        <v>2</v>
      </c>
      <c r="CL884">
        <v>0</v>
      </c>
      <c r="CM884">
        <v>2</v>
      </c>
      <c r="CN884">
        <v>0</v>
      </c>
      <c r="CO884">
        <v>7</v>
      </c>
      <c r="CP884" t="s">
        <v>119</v>
      </c>
      <c r="CQ884">
        <v>197</v>
      </c>
      <c r="CR884">
        <v>0</v>
      </c>
      <c r="CW884">
        <v>16066083</v>
      </c>
      <c r="CY884">
        <v>1</v>
      </c>
      <c r="CZ884">
        <v>0</v>
      </c>
      <c r="DA884">
        <v>1</v>
      </c>
      <c r="DB884">
        <v>0</v>
      </c>
      <c r="DC884">
        <v>0</v>
      </c>
      <c r="DD884">
        <v>1</v>
      </c>
      <c r="DE884">
        <v>0</v>
      </c>
      <c r="DF884">
        <v>0</v>
      </c>
      <c r="DG884">
        <v>0</v>
      </c>
      <c r="DH884">
        <v>0</v>
      </c>
      <c r="DI884">
        <v>0</v>
      </c>
    </row>
    <row r="885" spans="1:113" x14ac:dyDescent="0.3">
      <c r="A885" t="str">
        <f>"09/28/2021 13:57:51.276"</f>
        <v>09/28/2021 13:57:51.276</v>
      </c>
      <c r="C885" t="str">
        <f t="shared" si="44"/>
        <v>FFDFD3C0</v>
      </c>
      <c r="D885" t="s">
        <v>113</v>
      </c>
      <c r="E885">
        <v>7</v>
      </c>
      <c r="H885">
        <v>170</v>
      </c>
      <c r="I885" t="s">
        <v>114</v>
      </c>
      <c r="J885" t="s">
        <v>115</v>
      </c>
      <c r="K885">
        <v>0</v>
      </c>
      <c r="L885">
        <v>3</v>
      </c>
      <c r="M885">
        <v>0</v>
      </c>
      <c r="N885">
        <v>2</v>
      </c>
      <c r="O885">
        <v>1</v>
      </c>
      <c r="P885">
        <v>0</v>
      </c>
      <c r="Q885">
        <v>0</v>
      </c>
      <c r="S885" t="str">
        <f>"13:57:51.063"</f>
        <v>13:57:51.063</v>
      </c>
      <c r="T885" t="str">
        <f>"13:57:50.563"</f>
        <v>13:57:50.563</v>
      </c>
      <c r="U885" t="str">
        <f t="shared" si="43"/>
        <v>A92BC1</v>
      </c>
      <c r="V885">
        <v>0</v>
      </c>
      <c r="W885">
        <v>0</v>
      </c>
      <c r="X885">
        <v>2</v>
      </c>
      <c r="Z885">
        <v>0</v>
      </c>
      <c r="AA885">
        <v>9</v>
      </c>
      <c r="AB885">
        <v>3</v>
      </c>
      <c r="AC885">
        <v>0</v>
      </c>
      <c r="AD885">
        <v>10</v>
      </c>
      <c r="AE885">
        <v>0</v>
      </c>
      <c r="AF885">
        <v>3</v>
      </c>
      <c r="AG885">
        <v>2</v>
      </c>
      <c r="AH885">
        <v>0</v>
      </c>
      <c r="AI885" t="s">
        <v>986</v>
      </c>
      <c r="AJ885">
        <v>45.846268999999999</v>
      </c>
      <c r="AK885" t="s">
        <v>987</v>
      </c>
      <c r="AL885">
        <v>-89.176582999999994</v>
      </c>
      <c r="AM885">
        <v>100</v>
      </c>
      <c r="AN885">
        <v>14700</v>
      </c>
      <c r="AO885" t="s">
        <v>118</v>
      </c>
      <c r="AP885">
        <v>142</v>
      </c>
      <c r="AQ885">
        <v>117</v>
      </c>
      <c r="AR885">
        <v>1472</v>
      </c>
      <c r="AZ885">
        <v>1200</v>
      </c>
      <c r="BA885">
        <v>1</v>
      </c>
      <c r="BB885" t="str">
        <f t="shared" si="45"/>
        <v xml:space="preserve">N690LS  </v>
      </c>
      <c r="BC885">
        <v>1</v>
      </c>
      <c r="BE885">
        <v>0</v>
      </c>
      <c r="BF885">
        <v>0</v>
      </c>
      <c r="BG885">
        <v>0</v>
      </c>
      <c r="BH885">
        <v>15225</v>
      </c>
      <c r="BI885">
        <v>1</v>
      </c>
      <c r="BJ885">
        <v>1</v>
      </c>
      <c r="BK885">
        <v>1</v>
      </c>
      <c r="BL885">
        <v>0</v>
      </c>
      <c r="BO885">
        <v>0</v>
      </c>
      <c r="BP885">
        <v>0</v>
      </c>
      <c r="BW885" t="str">
        <f>"13:57:51.063"</f>
        <v>13:57:51.063</v>
      </c>
      <c r="CJ885">
        <v>0</v>
      </c>
      <c r="CK885">
        <v>2</v>
      </c>
      <c r="CL885">
        <v>0</v>
      </c>
      <c r="CM885">
        <v>2</v>
      </c>
      <c r="CN885">
        <v>0</v>
      </c>
      <c r="CO885">
        <v>7</v>
      </c>
      <c r="CP885" t="s">
        <v>119</v>
      </c>
      <c r="CQ885">
        <v>209</v>
      </c>
      <c r="CR885">
        <v>3</v>
      </c>
      <c r="CW885">
        <v>7246808</v>
      </c>
      <c r="CY885">
        <v>1</v>
      </c>
      <c r="CZ885">
        <v>0</v>
      </c>
      <c r="DA885">
        <v>0</v>
      </c>
      <c r="DB885">
        <v>0</v>
      </c>
      <c r="DC885">
        <v>0</v>
      </c>
      <c r="DD885">
        <v>1</v>
      </c>
      <c r="DE885">
        <v>0</v>
      </c>
      <c r="DF885">
        <v>0</v>
      </c>
      <c r="DG885">
        <v>0</v>
      </c>
      <c r="DH885">
        <v>0</v>
      </c>
      <c r="DI885">
        <v>0</v>
      </c>
    </row>
    <row r="886" spans="1:113" x14ac:dyDescent="0.3">
      <c r="A886" t="str">
        <f>"09/28/2021 13:57:51.307"</f>
        <v>09/28/2021 13:57:51.307</v>
      </c>
      <c r="C886" t="str">
        <f t="shared" si="44"/>
        <v>FFDFD3C0</v>
      </c>
      <c r="D886" t="s">
        <v>120</v>
      </c>
      <c r="E886">
        <v>12</v>
      </c>
      <c r="F886">
        <v>1012</v>
      </c>
      <c r="G886" t="s">
        <v>114</v>
      </c>
      <c r="J886" t="s">
        <v>121</v>
      </c>
      <c r="K886">
        <v>0</v>
      </c>
      <c r="L886">
        <v>3</v>
      </c>
      <c r="M886">
        <v>0</v>
      </c>
      <c r="N886">
        <v>2</v>
      </c>
      <c r="O886">
        <v>1</v>
      </c>
      <c r="P886">
        <v>0</v>
      </c>
      <c r="Q886">
        <v>0</v>
      </c>
      <c r="S886" t="str">
        <f>"13:57:51.063"</f>
        <v>13:57:51.063</v>
      </c>
      <c r="T886" t="str">
        <f>"13:57:50.563"</f>
        <v>13:57:50.563</v>
      </c>
      <c r="U886" t="str">
        <f t="shared" si="43"/>
        <v>A92BC1</v>
      </c>
      <c r="V886">
        <v>0</v>
      </c>
      <c r="W886">
        <v>0</v>
      </c>
      <c r="X886">
        <v>2</v>
      </c>
      <c r="Z886">
        <v>0</v>
      </c>
      <c r="AA886">
        <v>9</v>
      </c>
      <c r="AB886">
        <v>3</v>
      </c>
      <c r="AC886">
        <v>0</v>
      </c>
      <c r="AD886">
        <v>10</v>
      </c>
      <c r="AE886">
        <v>0</v>
      </c>
      <c r="AF886">
        <v>3</v>
      </c>
      <c r="AG886">
        <v>2</v>
      </c>
      <c r="AH886">
        <v>0</v>
      </c>
      <c r="AI886" t="s">
        <v>986</v>
      </c>
      <c r="AJ886">
        <v>45.846268999999999</v>
      </c>
      <c r="AK886" t="s">
        <v>987</v>
      </c>
      <c r="AL886">
        <v>-89.176582999999994</v>
      </c>
      <c r="AM886">
        <v>100</v>
      </c>
      <c r="AN886">
        <v>14700</v>
      </c>
      <c r="AO886" t="s">
        <v>118</v>
      </c>
      <c r="AP886">
        <v>142</v>
      </c>
      <c r="AQ886">
        <v>117</v>
      </c>
      <c r="AR886">
        <v>1472</v>
      </c>
      <c r="AZ886">
        <v>1200</v>
      </c>
      <c r="BA886">
        <v>1</v>
      </c>
      <c r="BB886" t="str">
        <f t="shared" si="45"/>
        <v xml:space="preserve">N690LS  </v>
      </c>
      <c r="BC886">
        <v>1</v>
      </c>
      <c r="BE886">
        <v>0</v>
      </c>
      <c r="BF886">
        <v>0</v>
      </c>
      <c r="BG886">
        <v>0</v>
      </c>
      <c r="BH886">
        <v>15225</v>
      </c>
      <c r="BI886">
        <v>1</v>
      </c>
      <c r="BJ886">
        <v>1</v>
      </c>
      <c r="BK886">
        <v>1</v>
      </c>
      <c r="BL886">
        <v>0</v>
      </c>
      <c r="BO886">
        <v>0</v>
      </c>
      <c r="BP886">
        <v>0</v>
      </c>
      <c r="BW886" t="str">
        <f>"13:57:51.063"</f>
        <v>13:57:51.063</v>
      </c>
      <c r="CJ886">
        <v>0</v>
      </c>
      <c r="CK886">
        <v>2</v>
      </c>
      <c r="CL886">
        <v>0</v>
      </c>
      <c r="CM886">
        <v>2</v>
      </c>
      <c r="CN886">
        <v>0</v>
      </c>
      <c r="CO886">
        <v>7</v>
      </c>
      <c r="CP886" t="s">
        <v>119</v>
      </c>
      <c r="CQ886">
        <v>209</v>
      </c>
      <c r="CR886">
        <v>3</v>
      </c>
      <c r="CW886">
        <v>7246808</v>
      </c>
      <c r="CY886">
        <v>1</v>
      </c>
      <c r="CZ886">
        <v>0</v>
      </c>
      <c r="DA886">
        <v>1</v>
      </c>
      <c r="DB886">
        <v>0</v>
      </c>
      <c r="DC886">
        <v>0</v>
      </c>
      <c r="DD886">
        <v>1</v>
      </c>
      <c r="DE886">
        <v>0</v>
      </c>
      <c r="DF886">
        <v>0</v>
      </c>
      <c r="DG886">
        <v>0</v>
      </c>
      <c r="DH886">
        <v>0</v>
      </c>
      <c r="DI886">
        <v>0</v>
      </c>
    </row>
    <row r="887" spans="1:113" x14ac:dyDescent="0.3">
      <c r="A887" t="str">
        <f>"09/28/2021 13:57:52.246"</f>
        <v>09/28/2021 13:57:52.246</v>
      </c>
      <c r="C887" t="str">
        <f t="shared" si="44"/>
        <v>FFDFD3C0</v>
      </c>
      <c r="D887" t="s">
        <v>120</v>
      </c>
      <c r="E887">
        <v>12</v>
      </c>
      <c r="F887">
        <v>1012</v>
      </c>
      <c r="G887" t="s">
        <v>114</v>
      </c>
      <c r="J887" t="s">
        <v>121</v>
      </c>
      <c r="K887">
        <v>0</v>
      </c>
      <c r="L887">
        <v>3</v>
      </c>
      <c r="M887">
        <v>0</v>
      </c>
      <c r="N887">
        <v>2</v>
      </c>
      <c r="O887">
        <v>1</v>
      </c>
      <c r="P887">
        <v>0</v>
      </c>
      <c r="Q887">
        <v>0</v>
      </c>
      <c r="S887" t="str">
        <f>"13:57:52.039"</f>
        <v>13:57:52.039</v>
      </c>
      <c r="T887" t="str">
        <f>"13:57:51.539"</f>
        <v>13:57:51.539</v>
      </c>
      <c r="U887" t="str">
        <f t="shared" si="43"/>
        <v>A92BC1</v>
      </c>
      <c r="V887">
        <v>0</v>
      </c>
      <c r="W887">
        <v>0</v>
      </c>
      <c r="X887">
        <v>2</v>
      </c>
      <c r="Z887">
        <v>0</v>
      </c>
      <c r="AA887">
        <v>9</v>
      </c>
      <c r="AB887">
        <v>3</v>
      </c>
      <c r="AC887">
        <v>0</v>
      </c>
      <c r="AD887">
        <v>10</v>
      </c>
      <c r="AE887">
        <v>0</v>
      </c>
      <c r="AF887">
        <v>3</v>
      </c>
      <c r="AG887">
        <v>2</v>
      </c>
      <c r="AH887">
        <v>0</v>
      </c>
      <c r="AI887" t="s">
        <v>988</v>
      </c>
      <c r="AJ887">
        <v>45.846784</v>
      </c>
      <c r="AK887" t="s">
        <v>989</v>
      </c>
      <c r="AL887">
        <v>-89.175618</v>
      </c>
      <c r="AM887">
        <v>100</v>
      </c>
      <c r="AN887">
        <v>14700</v>
      </c>
      <c r="AO887" t="s">
        <v>118</v>
      </c>
      <c r="AP887">
        <v>142</v>
      </c>
      <c r="AQ887">
        <v>117</v>
      </c>
      <c r="AR887">
        <v>1472</v>
      </c>
      <c r="AZ887">
        <v>1200</v>
      </c>
      <c r="BA887">
        <v>1</v>
      </c>
      <c r="BB887" t="str">
        <f t="shared" si="45"/>
        <v xml:space="preserve">N690LS  </v>
      </c>
      <c r="BC887">
        <v>1</v>
      </c>
      <c r="BE887">
        <v>0</v>
      </c>
      <c r="BF887">
        <v>0</v>
      </c>
      <c r="BG887">
        <v>0</v>
      </c>
      <c r="BH887">
        <v>15250</v>
      </c>
      <c r="BI887">
        <v>1</v>
      </c>
      <c r="BJ887">
        <v>1</v>
      </c>
      <c r="BK887">
        <v>1</v>
      </c>
      <c r="BL887">
        <v>0</v>
      </c>
      <c r="BO887">
        <v>0</v>
      </c>
      <c r="BP887">
        <v>0</v>
      </c>
      <c r="BW887" t="str">
        <f>"13:57:52.045"</f>
        <v>13:57:52.045</v>
      </c>
      <c r="CJ887">
        <v>0</v>
      </c>
      <c r="CK887">
        <v>2</v>
      </c>
      <c r="CL887">
        <v>0</v>
      </c>
      <c r="CM887">
        <v>2</v>
      </c>
      <c r="CN887">
        <v>0</v>
      </c>
      <c r="CO887">
        <v>7</v>
      </c>
      <c r="CP887" t="s">
        <v>119</v>
      </c>
      <c r="CQ887">
        <v>197</v>
      </c>
      <c r="CR887">
        <v>1</v>
      </c>
      <c r="CW887">
        <v>7450886</v>
      </c>
      <c r="CY887">
        <v>1</v>
      </c>
      <c r="CZ887">
        <v>0</v>
      </c>
      <c r="DA887">
        <v>0</v>
      </c>
      <c r="DB887">
        <v>0</v>
      </c>
      <c r="DC887">
        <v>0</v>
      </c>
      <c r="DD887">
        <v>1</v>
      </c>
      <c r="DE887">
        <v>0</v>
      </c>
      <c r="DF887">
        <v>0</v>
      </c>
      <c r="DG887">
        <v>0</v>
      </c>
      <c r="DH887">
        <v>0</v>
      </c>
      <c r="DI887">
        <v>0</v>
      </c>
    </row>
    <row r="888" spans="1:113" x14ac:dyDescent="0.3">
      <c r="A888" t="str">
        <f>"09/28/2021 13:57:52.246"</f>
        <v>09/28/2021 13:57:52.246</v>
      </c>
      <c r="C888" t="str">
        <f t="shared" si="44"/>
        <v>FFDFD3C0</v>
      </c>
      <c r="D888" t="s">
        <v>113</v>
      </c>
      <c r="E888">
        <v>7</v>
      </c>
      <c r="H888">
        <v>170</v>
      </c>
      <c r="I888" t="s">
        <v>114</v>
      </c>
      <c r="J888" t="s">
        <v>115</v>
      </c>
      <c r="K888">
        <v>0</v>
      </c>
      <c r="L888">
        <v>3</v>
      </c>
      <c r="M888">
        <v>0</v>
      </c>
      <c r="N888">
        <v>2</v>
      </c>
      <c r="O888">
        <v>1</v>
      </c>
      <c r="P888">
        <v>0</v>
      </c>
      <c r="Q888">
        <v>0</v>
      </c>
      <c r="S888" t="str">
        <f>"13:57:52.039"</f>
        <v>13:57:52.039</v>
      </c>
      <c r="T888" t="str">
        <f>"13:57:51.539"</f>
        <v>13:57:51.539</v>
      </c>
      <c r="U888" t="str">
        <f t="shared" si="43"/>
        <v>A92BC1</v>
      </c>
      <c r="V888">
        <v>0</v>
      </c>
      <c r="W888">
        <v>0</v>
      </c>
      <c r="X888">
        <v>2</v>
      </c>
      <c r="Z888">
        <v>0</v>
      </c>
      <c r="AA888">
        <v>9</v>
      </c>
      <c r="AB888">
        <v>3</v>
      </c>
      <c r="AC888">
        <v>0</v>
      </c>
      <c r="AD888">
        <v>10</v>
      </c>
      <c r="AE888">
        <v>0</v>
      </c>
      <c r="AF888">
        <v>3</v>
      </c>
      <c r="AG888">
        <v>2</v>
      </c>
      <c r="AH888">
        <v>0</v>
      </c>
      <c r="AI888" t="s">
        <v>988</v>
      </c>
      <c r="AJ888">
        <v>45.846784</v>
      </c>
      <c r="AK888" t="s">
        <v>989</v>
      </c>
      <c r="AL888">
        <v>-89.175618</v>
      </c>
      <c r="AM888">
        <v>100</v>
      </c>
      <c r="AN888">
        <v>14700</v>
      </c>
      <c r="AO888" t="s">
        <v>118</v>
      </c>
      <c r="AP888">
        <v>142</v>
      </c>
      <c r="AQ888">
        <v>117</v>
      </c>
      <c r="AR888">
        <v>1472</v>
      </c>
      <c r="AZ888">
        <v>1200</v>
      </c>
      <c r="BA888">
        <v>1</v>
      </c>
      <c r="BB888" t="str">
        <f t="shared" si="45"/>
        <v xml:space="preserve">N690LS  </v>
      </c>
      <c r="BC888">
        <v>1</v>
      </c>
      <c r="BE888">
        <v>0</v>
      </c>
      <c r="BF888">
        <v>0</v>
      </c>
      <c r="BG888">
        <v>0</v>
      </c>
      <c r="BH888">
        <v>15250</v>
      </c>
      <c r="BI888">
        <v>1</v>
      </c>
      <c r="BJ888">
        <v>1</v>
      </c>
      <c r="BK888">
        <v>1</v>
      </c>
      <c r="BL888">
        <v>0</v>
      </c>
      <c r="BO888">
        <v>0</v>
      </c>
      <c r="BP888">
        <v>0</v>
      </c>
      <c r="BW888" t="str">
        <f>"13:57:52.045"</f>
        <v>13:57:52.045</v>
      </c>
      <c r="CJ888">
        <v>0</v>
      </c>
      <c r="CK888">
        <v>2</v>
      </c>
      <c r="CL888">
        <v>0</v>
      </c>
      <c r="CM888">
        <v>2</v>
      </c>
      <c r="CN888">
        <v>0</v>
      </c>
      <c r="CO888">
        <v>7</v>
      </c>
      <c r="CP888" t="s">
        <v>119</v>
      </c>
      <c r="CQ888">
        <v>197</v>
      </c>
      <c r="CR888">
        <v>1</v>
      </c>
      <c r="CW888">
        <v>7450886</v>
      </c>
      <c r="CY888">
        <v>1</v>
      </c>
      <c r="CZ888">
        <v>0</v>
      </c>
      <c r="DA888">
        <v>1</v>
      </c>
      <c r="DB888">
        <v>0</v>
      </c>
      <c r="DC888">
        <v>0</v>
      </c>
      <c r="DD888">
        <v>1</v>
      </c>
      <c r="DE888">
        <v>0</v>
      </c>
      <c r="DF888">
        <v>0</v>
      </c>
      <c r="DG888">
        <v>0</v>
      </c>
      <c r="DH888">
        <v>0</v>
      </c>
      <c r="DI888">
        <v>0</v>
      </c>
    </row>
    <row r="889" spans="1:113" x14ac:dyDescent="0.3">
      <c r="A889" t="str">
        <f>"09/28/2021 13:57:53.358"</f>
        <v>09/28/2021 13:57:53.358</v>
      </c>
      <c r="C889" t="str">
        <f t="shared" si="44"/>
        <v>FFDFD3C0</v>
      </c>
      <c r="D889" t="s">
        <v>120</v>
      </c>
      <c r="E889">
        <v>12</v>
      </c>
      <c r="F889">
        <v>1012</v>
      </c>
      <c r="G889" t="s">
        <v>114</v>
      </c>
      <c r="J889" t="s">
        <v>121</v>
      </c>
      <c r="K889">
        <v>0</v>
      </c>
      <c r="L889">
        <v>3</v>
      </c>
      <c r="M889">
        <v>0</v>
      </c>
      <c r="N889">
        <v>2</v>
      </c>
      <c r="O889">
        <v>1</v>
      </c>
      <c r="P889">
        <v>0</v>
      </c>
      <c r="Q889">
        <v>0</v>
      </c>
      <c r="S889" t="str">
        <f>"13:57:53.172"</f>
        <v>13:57:53.172</v>
      </c>
      <c r="T889" t="str">
        <f>"13:57:52.672"</f>
        <v>13:57:52.672</v>
      </c>
      <c r="U889" t="str">
        <f t="shared" si="43"/>
        <v>A92BC1</v>
      </c>
      <c r="V889">
        <v>0</v>
      </c>
      <c r="W889">
        <v>0</v>
      </c>
      <c r="X889">
        <v>2</v>
      </c>
      <c r="Z889">
        <v>0</v>
      </c>
      <c r="AA889">
        <v>9</v>
      </c>
      <c r="AB889">
        <v>3</v>
      </c>
      <c r="AC889">
        <v>0</v>
      </c>
      <c r="AD889">
        <v>10</v>
      </c>
      <c r="AE889">
        <v>0</v>
      </c>
      <c r="AF889">
        <v>3</v>
      </c>
      <c r="AG889">
        <v>2</v>
      </c>
      <c r="AH889">
        <v>0</v>
      </c>
      <c r="AI889" t="s">
        <v>990</v>
      </c>
      <c r="AJ889">
        <v>45.847405999999999</v>
      </c>
      <c r="AK889" t="s">
        <v>991</v>
      </c>
      <c r="AL889">
        <v>-89.174609000000004</v>
      </c>
      <c r="AM889">
        <v>100</v>
      </c>
      <c r="AN889">
        <v>14800</v>
      </c>
      <c r="AO889" t="s">
        <v>118</v>
      </c>
      <c r="AP889">
        <v>142</v>
      </c>
      <c r="AQ889">
        <v>117</v>
      </c>
      <c r="AR889">
        <v>1536</v>
      </c>
      <c r="AZ889">
        <v>1200</v>
      </c>
      <c r="BA889">
        <v>1</v>
      </c>
      <c r="BB889" t="str">
        <f t="shared" si="45"/>
        <v xml:space="preserve">N690LS  </v>
      </c>
      <c r="BC889">
        <v>1</v>
      </c>
      <c r="BE889">
        <v>0</v>
      </c>
      <c r="BF889">
        <v>0</v>
      </c>
      <c r="BG889">
        <v>0</v>
      </c>
      <c r="BH889">
        <v>15275</v>
      </c>
      <c r="BI889">
        <v>1</v>
      </c>
      <c r="BJ889">
        <v>1</v>
      </c>
      <c r="BK889">
        <v>1</v>
      </c>
      <c r="BL889">
        <v>0</v>
      </c>
      <c r="BO889">
        <v>0</v>
      </c>
      <c r="BP889">
        <v>0</v>
      </c>
      <c r="BW889" t="str">
        <f>"13:57:53.174"</f>
        <v>13:57:53.174</v>
      </c>
      <c r="CJ889">
        <v>0</v>
      </c>
      <c r="CK889">
        <v>2</v>
      </c>
      <c r="CL889">
        <v>0</v>
      </c>
      <c r="CM889">
        <v>2</v>
      </c>
      <c r="CN889">
        <v>0</v>
      </c>
      <c r="CO889">
        <v>7</v>
      </c>
      <c r="CP889" t="s">
        <v>119</v>
      </c>
      <c r="CQ889">
        <v>197</v>
      </c>
      <c r="CR889">
        <v>1</v>
      </c>
      <c r="CW889">
        <v>7452276</v>
      </c>
      <c r="CY889">
        <v>1</v>
      </c>
      <c r="CZ889">
        <v>0</v>
      </c>
      <c r="DA889">
        <v>0</v>
      </c>
      <c r="DB889">
        <v>0</v>
      </c>
      <c r="DC889">
        <v>0</v>
      </c>
      <c r="DD889">
        <v>1</v>
      </c>
      <c r="DE889">
        <v>0</v>
      </c>
      <c r="DF889">
        <v>0</v>
      </c>
      <c r="DG889">
        <v>0</v>
      </c>
      <c r="DH889">
        <v>0</v>
      </c>
      <c r="DI889">
        <v>0</v>
      </c>
    </row>
    <row r="890" spans="1:113" x14ac:dyDescent="0.3">
      <c r="A890" t="str">
        <f>"09/28/2021 13:57:53.358"</f>
        <v>09/28/2021 13:57:53.358</v>
      </c>
      <c r="C890" t="str">
        <f t="shared" si="44"/>
        <v>FFDFD3C0</v>
      </c>
      <c r="D890" t="s">
        <v>113</v>
      </c>
      <c r="E890">
        <v>7</v>
      </c>
      <c r="H890">
        <v>170</v>
      </c>
      <c r="I890" t="s">
        <v>114</v>
      </c>
      <c r="J890" t="s">
        <v>115</v>
      </c>
      <c r="K890">
        <v>0</v>
      </c>
      <c r="L890">
        <v>3</v>
      </c>
      <c r="M890">
        <v>0</v>
      </c>
      <c r="N890">
        <v>2</v>
      </c>
      <c r="O890">
        <v>1</v>
      </c>
      <c r="P890">
        <v>0</v>
      </c>
      <c r="Q890">
        <v>0</v>
      </c>
      <c r="S890" t="str">
        <f>"13:57:53.172"</f>
        <v>13:57:53.172</v>
      </c>
      <c r="T890" t="str">
        <f>"13:57:52.672"</f>
        <v>13:57:52.672</v>
      </c>
      <c r="U890" t="str">
        <f t="shared" si="43"/>
        <v>A92BC1</v>
      </c>
      <c r="V890">
        <v>0</v>
      </c>
      <c r="W890">
        <v>0</v>
      </c>
      <c r="X890">
        <v>2</v>
      </c>
      <c r="Z890">
        <v>0</v>
      </c>
      <c r="AA890">
        <v>9</v>
      </c>
      <c r="AB890">
        <v>3</v>
      </c>
      <c r="AC890">
        <v>0</v>
      </c>
      <c r="AD890">
        <v>10</v>
      </c>
      <c r="AE890">
        <v>0</v>
      </c>
      <c r="AF890">
        <v>3</v>
      </c>
      <c r="AG890">
        <v>2</v>
      </c>
      <c r="AH890">
        <v>0</v>
      </c>
      <c r="AI890" t="s">
        <v>990</v>
      </c>
      <c r="AJ890">
        <v>45.847405999999999</v>
      </c>
      <c r="AK890" t="s">
        <v>991</v>
      </c>
      <c r="AL890">
        <v>-89.174609000000004</v>
      </c>
      <c r="AM890">
        <v>100</v>
      </c>
      <c r="AN890">
        <v>14800</v>
      </c>
      <c r="AO890" t="s">
        <v>118</v>
      </c>
      <c r="AP890">
        <v>142</v>
      </c>
      <c r="AQ890">
        <v>117</v>
      </c>
      <c r="AR890">
        <v>1536</v>
      </c>
      <c r="AZ890">
        <v>1200</v>
      </c>
      <c r="BA890">
        <v>1</v>
      </c>
      <c r="BB890" t="str">
        <f t="shared" si="45"/>
        <v xml:space="preserve">N690LS  </v>
      </c>
      <c r="BC890">
        <v>1</v>
      </c>
      <c r="BE890">
        <v>0</v>
      </c>
      <c r="BF890">
        <v>0</v>
      </c>
      <c r="BG890">
        <v>0</v>
      </c>
      <c r="BH890">
        <v>15275</v>
      </c>
      <c r="BI890">
        <v>1</v>
      </c>
      <c r="BJ890">
        <v>1</v>
      </c>
      <c r="BK890">
        <v>1</v>
      </c>
      <c r="BL890">
        <v>0</v>
      </c>
      <c r="BO890">
        <v>0</v>
      </c>
      <c r="BP890">
        <v>0</v>
      </c>
      <c r="BW890" t="str">
        <f>"13:57:53.174"</f>
        <v>13:57:53.174</v>
      </c>
      <c r="CJ890">
        <v>0</v>
      </c>
      <c r="CK890">
        <v>2</v>
      </c>
      <c r="CL890">
        <v>0</v>
      </c>
      <c r="CM890">
        <v>2</v>
      </c>
      <c r="CN890">
        <v>0</v>
      </c>
      <c r="CO890">
        <v>7</v>
      </c>
      <c r="CP890" t="s">
        <v>119</v>
      </c>
      <c r="CQ890">
        <v>197</v>
      </c>
      <c r="CR890">
        <v>1</v>
      </c>
      <c r="CW890">
        <v>7452276</v>
      </c>
      <c r="CY890">
        <v>1</v>
      </c>
      <c r="CZ890">
        <v>0</v>
      </c>
      <c r="DA890">
        <v>1</v>
      </c>
      <c r="DB890">
        <v>0</v>
      </c>
      <c r="DC890">
        <v>0</v>
      </c>
      <c r="DD890">
        <v>1</v>
      </c>
      <c r="DE890">
        <v>0</v>
      </c>
      <c r="DF890">
        <v>0</v>
      </c>
      <c r="DG890">
        <v>0</v>
      </c>
      <c r="DH890">
        <v>0</v>
      </c>
      <c r="DI890">
        <v>0</v>
      </c>
    </row>
    <row r="891" spans="1:113" x14ac:dyDescent="0.3">
      <c r="A891" t="str">
        <f>"09/28/2021 13:57:54.219"</f>
        <v>09/28/2021 13:57:54.219</v>
      </c>
      <c r="C891" t="str">
        <f t="shared" si="44"/>
        <v>FFDFD3C0</v>
      </c>
      <c r="D891" t="s">
        <v>113</v>
      </c>
      <c r="E891">
        <v>7</v>
      </c>
      <c r="H891">
        <v>170</v>
      </c>
      <c r="I891" t="s">
        <v>114</v>
      </c>
      <c r="J891" t="s">
        <v>115</v>
      </c>
      <c r="K891">
        <v>0</v>
      </c>
      <c r="L891">
        <v>3</v>
      </c>
      <c r="M891">
        <v>0</v>
      </c>
      <c r="N891">
        <v>2</v>
      </c>
      <c r="O891">
        <v>1</v>
      </c>
      <c r="P891">
        <v>0</v>
      </c>
      <c r="Q891">
        <v>0</v>
      </c>
      <c r="S891" t="str">
        <f>"13:57:54.016"</f>
        <v>13:57:54.016</v>
      </c>
      <c r="T891" t="str">
        <f>"13:57:53.616"</f>
        <v>13:57:53.616</v>
      </c>
      <c r="U891" t="str">
        <f t="shared" si="43"/>
        <v>A92BC1</v>
      </c>
      <c r="V891">
        <v>0</v>
      </c>
      <c r="W891">
        <v>0</v>
      </c>
      <c r="X891">
        <v>2</v>
      </c>
      <c r="Z891">
        <v>0</v>
      </c>
      <c r="AA891">
        <v>9</v>
      </c>
      <c r="AB891">
        <v>3</v>
      </c>
      <c r="AC891">
        <v>0</v>
      </c>
      <c r="AD891">
        <v>10</v>
      </c>
      <c r="AE891">
        <v>0</v>
      </c>
      <c r="AF891">
        <v>3</v>
      </c>
      <c r="AG891">
        <v>2</v>
      </c>
      <c r="AH891">
        <v>0</v>
      </c>
      <c r="AI891" t="s">
        <v>992</v>
      </c>
      <c r="AJ891">
        <v>45.847814</v>
      </c>
      <c r="AK891" t="s">
        <v>993</v>
      </c>
      <c r="AL891">
        <v>-89.173879999999997</v>
      </c>
      <c r="AM891">
        <v>100</v>
      </c>
      <c r="AN891">
        <v>14800</v>
      </c>
      <c r="AO891" t="s">
        <v>118</v>
      </c>
      <c r="AP891">
        <v>142</v>
      </c>
      <c r="AQ891">
        <v>117</v>
      </c>
      <c r="AR891">
        <v>1536</v>
      </c>
      <c r="AZ891">
        <v>1200</v>
      </c>
      <c r="BA891">
        <v>1</v>
      </c>
      <c r="BB891" t="str">
        <f t="shared" si="45"/>
        <v xml:space="preserve">N690LS  </v>
      </c>
      <c r="BC891">
        <v>1</v>
      </c>
      <c r="BE891">
        <v>0</v>
      </c>
      <c r="BF891">
        <v>0</v>
      </c>
      <c r="BG891">
        <v>0</v>
      </c>
      <c r="BH891">
        <v>15300</v>
      </c>
      <c r="BI891">
        <v>1</v>
      </c>
      <c r="BJ891">
        <v>1</v>
      </c>
      <c r="BK891">
        <v>1</v>
      </c>
      <c r="BL891">
        <v>0</v>
      </c>
      <c r="BO891">
        <v>0</v>
      </c>
      <c r="BP891">
        <v>0</v>
      </c>
      <c r="BW891" t="str">
        <f>"13:57:54.022"</f>
        <v>13:57:54.022</v>
      </c>
      <c r="CJ891">
        <v>0</v>
      </c>
      <c r="CK891">
        <v>2</v>
      </c>
      <c r="CL891">
        <v>0</v>
      </c>
      <c r="CM891">
        <v>2</v>
      </c>
      <c r="CN891">
        <v>0</v>
      </c>
      <c r="CO891">
        <v>6</v>
      </c>
      <c r="CP891" t="s">
        <v>119</v>
      </c>
      <c r="CQ891">
        <v>209</v>
      </c>
      <c r="CR891">
        <v>3</v>
      </c>
      <c r="CW891">
        <v>7247628</v>
      </c>
      <c r="CY891">
        <v>1</v>
      </c>
      <c r="CZ891">
        <v>0</v>
      </c>
      <c r="DA891">
        <v>0</v>
      </c>
      <c r="DB891">
        <v>0</v>
      </c>
      <c r="DC891">
        <v>0</v>
      </c>
      <c r="DD891">
        <v>1</v>
      </c>
      <c r="DE891">
        <v>0</v>
      </c>
      <c r="DF891">
        <v>0</v>
      </c>
      <c r="DG891">
        <v>0</v>
      </c>
      <c r="DH891">
        <v>0</v>
      </c>
      <c r="DI891">
        <v>0</v>
      </c>
    </row>
    <row r="892" spans="1:113" x14ac:dyDescent="0.3">
      <c r="A892" t="str">
        <f>"09/28/2021 13:57:54.219"</f>
        <v>09/28/2021 13:57:54.219</v>
      </c>
      <c r="C892" t="str">
        <f t="shared" si="44"/>
        <v>FFDFD3C0</v>
      </c>
      <c r="D892" t="s">
        <v>120</v>
      </c>
      <c r="E892">
        <v>12</v>
      </c>
      <c r="F892">
        <v>1012</v>
      </c>
      <c r="G892" t="s">
        <v>114</v>
      </c>
      <c r="J892" t="s">
        <v>121</v>
      </c>
      <c r="K892">
        <v>0</v>
      </c>
      <c r="L892">
        <v>3</v>
      </c>
      <c r="M892">
        <v>0</v>
      </c>
      <c r="N892">
        <v>2</v>
      </c>
      <c r="O892">
        <v>1</v>
      </c>
      <c r="P892">
        <v>0</v>
      </c>
      <c r="Q892">
        <v>0</v>
      </c>
      <c r="S892" t="str">
        <f>"13:57:54.016"</f>
        <v>13:57:54.016</v>
      </c>
      <c r="T892" t="str">
        <f>"13:57:53.616"</f>
        <v>13:57:53.616</v>
      </c>
      <c r="U892" t="str">
        <f t="shared" si="43"/>
        <v>A92BC1</v>
      </c>
      <c r="V892">
        <v>0</v>
      </c>
      <c r="W892">
        <v>0</v>
      </c>
      <c r="X892">
        <v>2</v>
      </c>
      <c r="Z892">
        <v>0</v>
      </c>
      <c r="AA892">
        <v>9</v>
      </c>
      <c r="AB892">
        <v>3</v>
      </c>
      <c r="AC892">
        <v>0</v>
      </c>
      <c r="AD892">
        <v>10</v>
      </c>
      <c r="AE892">
        <v>0</v>
      </c>
      <c r="AF892">
        <v>3</v>
      </c>
      <c r="AG892">
        <v>2</v>
      </c>
      <c r="AH892">
        <v>0</v>
      </c>
      <c r="AI892" t="s">
        <v>992</v>
      </c>
      <c r="AJ892">
        <v>45.847814</v>
      </c>
      <c r="AK892" t="s">
        <v>993</v>
      </c>
      <c r="AL892">
        <v>-89.173879999999997</v>
      </c>
      <c r="AM892">
        <v>100</v>
      </c>
      <c r="AN892">
        <v>14800</v>
      </c>
      <c r="AO892" t="s">
        <v>118</v>
      </c>
      <c r="AP892">
        <v>142</v>
      </c>
      <c r="AQ892">
        <v>117</v>
      </c>
      <c r="AR892">
        <v>1536</v>
      </c>
      <c r="AZ892">
        <v>1200</v>
      </c>
      <c r="BA892">
        <v>1</v>
      </c>
      <c r="BB892" t="str">
        <f t="shared" si="45"/>
        <v xml:space="preserve">N690LS  </v>
      </c>
      <c r="BC892">
        <v>1</v>
      </c>
      <c r="BE892">
        <v>0</v>
      </c>
      <c r="BF892">
        <v>0</v>
      </c>
      <c r="BG892">
        <v>0</v>
      </c>
      <c r="BH892">
        <v>15300</v>
      </c>
      <c r="BI892">
        <v>1</v>
      </c>
      <c r="BJ892">
        <v>1</v>
      </c>
      <c r="BK892">
        <v>1</v>
      </c>
      <c r="BL892">
        <v>0</v>
      </c>
      <c r="BO892">
        <v>0</v>
      </c>
      <c r="BP892">
        <v>0</v>
      </c>
      <c r="BW892" t="str">
        <f>"13:57:54.022"</f>
        <v>13:57:54.022</v>
      </c>
      <c r="CJ892">
        <v>0</v>
      </c>
      <c r="CK892">
        <v>2</v>
      </c>
      <c r="CL892">
        <v>0</v>
      </c>
      <c r="CM892">
        <v>2</v>
      </c>
      <c r="CN892">
        <v>0</v>
      </c>
      <c r="CO892">
        <v>6</v>
      </c>
      <c r="CP892" t="s">
        <v>119</v>
      </c>
      <c r="CQ892">
        <v>209</v>
      </c>
      <c r="CR892">
        <v>3</v>
      </c>
      <c r="CW892">
        <v>7247628</v>
      </c>
      <c r="CY892">
        <v>1</v>
      </c>
      <c r="CZ892">
        <v>0</v>
      </c>
      <c r="DA892">
        <v>1</v>
      </c>
      <c r="DB892">
        <v>0</v>
      </c>
      <c r="DC892">
        <v>0</v>
      </c>
      <c r="DD892">
        <v>1</v>
      </c>
      <c r="DE892">
        <v>0</v>
      </c>
      <c r="DF892">
        <v>0</v>
      </c>
      <c r="DG892">
        <v>0</v>
      </c>
      <c r="DH892">
        <v>0</v>
      </c>
      <c r="DI892">
        <v>0</v>
      </c>
    </row>
    <row r="893" spans="1:113" x14ac:dyDescent="0.3">
      <c r="A893" t="str">
        <f>"09/28/2021 13:57:55.328"</f>
        <v>09/28/2021 13:57:55.328</v>
      </c>
      <c r="C893" t="str">
        <f t="shared" si="44"/>
        <v>FFDFD3C0</v>
      </c>
      <c r="D893" t="s">
        <v>120</v>
      </c>
      <c r="E893">
        <v>12</v>
      </c>
      <c r="F893">
        <v>1012</v>
      </c>
      <c r="G893" t="s">
        <v>114</v>
      </c>
      <c r="J893" t="s">
        <v>121</v>
      </c>
      <c r="K893">
        <v>0</v>
      </c>
      <c r="L893">
        <v>3</v>
      </c>
      <c r="M893">
        <v>0</v>
      </c>
      <c r="N893">
        <v>2</v>
      </c>
      <c r="O893">
        <v>1</v>
      </c>
      <c r="P893">
        <v>0</v>
      </c>
      <c r="Q893">
        <v>0</v>
      </c>
      <c r="S893" t="str">
        <f>"13:57:55.117"</f>
        <v>13:57:55.117</v>
      </c>
      <c r="T893" t="str">
        <f>"13:57:54.617"</f>
        <v>13:57:54.617</v>
      </c>
      <c r="U893" t="str">
        <f t="shared" si="43"/>
        <v>A92BC1</v>
      </c>
      <c r="V893">
        <v>0</v>
      </c>
      <c r="W893">
        <v>0</v>
      </c>
      <c r="X893">
        <v>2</v>
      </c>
      <c r="Z893">
        <v>0</v>
      </c>
      <c r="AA893">
        <v>9</v>
      </c>
      <c r="AB893">
        <v>3</v>
      </c>
      <c r="AC893">
        <v>0</v>
      </c>
      <c r="AD893">
        <v>10</v>
      </c>
      <c r="AE893">
        <v>0</v>
      </c>
      <c r="AF893">
        <v>3</v>
      </c>
      <c r="AG893">
        <v>2</v>
      </c>
      <c r="AH893">
        <v>0</v>
      </c>
      <c r="AI893" t="s">
        <v>994</v>
      </c>
      <c r="AJ893">
        <v>45.848415000000003</v>
      </c>
      <c r="AK893" t="s">
        <v>995</v>
      </c>
      <c r="AL893">
        <v>-89.172807000000006</v>
      </c>
      <c r="AM893">
        <v>100</v>
      </c>
      <c r="AN893">
        <v>14800</v>
      </c>
      <c r="AO893" t="s">
        <v>118</v>
      </c>
      <c r="AP893">
        <v>142</v>
      </c>
      <c r="AQ893">
        <v>117</v>
      </c>
      <c r="AR893">
        <v>1536</v>
      </c>
      <c r="AZ893">
        <v>1200</v>
      </c>
      <c r="BA893">
        <v>1</v>
      </c>
      <c r="BB893" t="str">
        <f t="shared" si="45"/>
        <v xml:space="preserve">N690LS  </v>
      </c>
      <c r="BC893">
        <v>1</v>
      </c>
      <c r="BE893">
        <v>0</v>
      </c>
      <c r="BF893">
        <v>0</v>
      </c>
      <c r="BG893">
        <v>0</v>
      </c>
      <c r="BH893">
        <v>15325</v>
      </c>
      <c r="BI893">
        <v>1</v>
      </c>
      <c r="BJ893">
        <v>1</v>
      </c>
      <c r="BK893">
        <v>1</v>
      </c>
      <c r="BL893">
        <v>0</v>
      </c>
      <c r="BO893">
        <v>0</v>
      </c>
      <c r="BP893">
        <v>0</v>
      </c>
      <c r="BW893" t="str">
        <f>"13:57:55.118"</f>
        <v>13:57:55.118</v>
      </c>
      <c r="CJ893">
        <v>0</v>
      </c>
      <c r="CK893">
        <v>2</v>
      </c>
      <c r="CL893">
        <v>0</v>
      </c>
      <c r="CM893">
        <v>2</v>
      </c>
      <c r="CN893">
        <v>0</v>
      </c>
      <c r="CO893">
        <v>6</v>
      </c>
      <c r="CP893" t="s">
        <v>119</v>
      </c>
      <c r="CQ893">
        <v>209</v>
      </c>
      <c r="CR893">
        <v>2</v>
      </c>
      <c r="CW893">
        <v>11824335</v>
      </c>
      <c r="CY893">
        <v>1</v>
      </c>
      <c r="CZ893">
        <v>0</v>
      </c>
      <c r="DA893">
        <v>0</v>
      </c>
      <c r="DB893">
        <v>0</v>
      </c>
      <c r="DC893">
        <v>0</v>
      </c>
      <c r="DD893">
        <v>1</v>
      </c>
      <c r="DE893">
        <v>0</v>
      </c>
      <c r="DF893">
        <v>0</v>
      </c>
      <c r="DG893">
        <v>0</v>
      </c>
      <c r="DH893">
        <v>0</v>
      </c>
      <c r="DI893">
        <v>0</v>
      </c>
    </row>
    <row r="894" spans="1:113" x14ac:dyDescent="0.3">
      <c r="A894" t="str">
        <f>"09/28/2021 13:57:55.328"</f>
        <v>09/28/2021 13:57:55.328</v>
      </c>
      <c r="C894" t="str">
        <f t="shared" si="44"/>
        <v>FFDFD3C0</v>
      </c>
      <c r="D894" t="s">
        <v>113</v>
      </c>
      <c r="E894">
        <v>7</v>
      </c>
      <c r="H894">
        <v>170</v>
      </c>
      <c r="I894" t="s">
        <v>114</v>
      </c>
      <c r="J894" t="s">
        <v>115</v>
      </c>
      <c r="K894">
        <v>0</v>
      </c>
      <c r="L894">
        <v>3</v>
      </c>
      <c r="M894">
        <v>0</v>
      </c>
      <c r="N894">
        <v>2</v>
      </c>
      <c r="O894">
        <v>1</v>
      </c>
      <c r="P894">
        <v>0</v>
      </c>
      <c r="Q894">
        <v>0</v>
      </c>
      <c r="S894" t="str">
        <f>"13:57:55.117"</f>
        <v>13:57:55.117</v>
      </c>
      <c r="T894" t="str">
        <f>"13:57:54.617"</f>
        <v>13:57:54.617</v>
      </c>
      <c r="U894" t="str">
        <f t="shared" si="43"/>
        <v>A92BC1</v>
      </c>
      <c r="V894">
        <v>0</v>
      </c>
      <c r="W894">
        <v>0</v>
      </c>
      <c r="X894">
        <v>2</v>
      </c>
      <c r="Z894">
        <v>0</v>
      </c>
      <c r="AA894">
        <v>9</v>
      </c>
      <c r="AB894">
        <v>3</v>
      </c>
      <c r="AC894">
        <v>0</v>
      </c>
      <c r="AD894">
        <v>10</v>
      </c>
      <c r="AE894">
        <v>0</v>
      </c>
      <c r="AF894">
        <v>3</v>
      </c>
      <c r="AG894">
        <v>2</v>
      </c>
      <c r="AH894">
        <v>0</v>
      </c>
      <c r="AI894" t="s">
        <v>994</v>
      </c>
      <c r="AJ894">
        <v>45.848415000000003</v>
      </c>
      <c r="AK894" t="s">
        <v>995</v>
      </c>
      <c r="AL894">
        <v>-89.172807000000006</v>
      </c>
      <c r="AM894">
        <v>100</v>
      </c>
      <c r="AN894">
        <v>14800</v>
      </c>
      <c r="AO894" t="s">
        <v>118</v>
      </c>
      <c r="AP894">
        <v>142</v>
      </c>
      <c r="AQ894">
        <v>117</v>
      </c>
      <c r="AR894">
        <v>1536</v>
      </c>
      <c r="AZ894">
        <v>1200</v>
      </c>
      <c r="BA894">
        <v>1</v>
      </c>
      <c r="BB894" t="str">
        <f t="shared" si="45"/>
        <v xml:space="preserve">N690LS  </v>
      </c>
      <c r="BC894">
        <v>1</v>
      </c>
      <c r="BE894">
        <v>0</v>
      </c>
      <c r="BF894">
        <v>0</v>
      </c>
      <c r="BG894">
        <v>0</v>
      </c>
      <c r="BH894">
        <v>15325</v>
      </c>
      <c r="BI894">
        <v>1</v>
      </c>
      <c r="BJ894">
        <v>1</v>
      </c>
      <c r="BK894">
        <v>1</v>
      </c>
      <c r="BL894">
        <v>0</v>
      </c>
      <c r="BO894">
        <v>0</v>
      </c>
      <c r="BP894">
        <v>0</v>
      </c>
      <c r="BW894" t="str">
        <f>"13:57:55.118"</f>
        <v>13:57:55.118</v>
      </c>
      <c r="CJ894">
        <v>0</v>
      </c>
      <c r="CK894">
        <v>2</v>
      </c>
      <c r="CL894">
        <v>0</v>
      </c>
      <c r="CM894">
        <v>2</v>
      </c>
      <c r="CN894">
        <v>0</v>
      </c>
      <c r="CO894">
        <v>6</v>
      </c>
      <c r="CP894" t="s">
        <v>119</v>
      </c>
      <c r="CQ894">
        <v>209</v>
      </c>
      <c r="CR894">
        <v>2</v>
      </c>
      <c r="CW894">
        <v>11824335</v>
      </c>
      <c r="CY894">
        <v>1</v>
      </c>
      <c r="CZ894">
        <v>0</v>
      </c>
      <c r="DA894">
        <v>1</v>
      </c>
      <c r="DB894">
        <v>0</v>
      </c>
      <c r="DC894">
        <v>0</v>
      </c>
      <c r="DD894">
        <v>1</v>
      </c>
      <c r="DE894">
        <v>0</v>
      </c>
      <c r="DF894">
        <v>0</v>
      </c>
      <c r="DG894">
        <v>0</v>
      </c>
      <c r="DH894">
        <v>0</v>
      </c>
      <c r="DI894">
        <v>0</v>
      </c>
    </row>
    <row r="895" spans="1:113" x14ac:dyDescent="0.3">
      <c r="A895" t="str">
        <f>"09/28/2021 13:57:56.375"</f>
        <v>09/28/2021 13:57:56.375</v>
      </c>
      <c r="C895" t="str">
        <f t="shared" si="44"/>
        <v>FFDFD3C0</v>
      </c>
      <c r="D895" t="s">
        <v>120</v>
      </c>
      <c r="E895">
        <v>12</v>
      </c>
      <c r="F895">
        <v>1012</v>
      </c>
      <c r="G895" t="s">
        <v>114</v>
      </c>
      <c r="J895" t="s">
        <v>121</v>
      </c>
      <c r="K895">
        <v>0</v>
      </c>
      <c r="L895">
        <v>3</v>
      </c>
      <c r="M895">
        <v>0</v>
      </c>
      <c r="N895">
        <v>2</v>
      </c>
      <c r="O895">
        <v>1</v>
      </c>
      <c r="P895">
        <v>0</v>
      </c>
      <c r="Q895">
        <v>0</v>
      </c>
      <c r="S895" t="str">
        <f>"13:57:56.188"</f>
        <v>13:57:56.188</v>
      </c>
      <c r="T895" t="str">
        <f>"13:57:55.688"</f>
        <v>13:57:55.688</v>
      </c>
      <c r="U895" t="str">
        <f t="shared" si="43"/>
        <v>A92BC1</v>
      </c>
      <c r="V895">
        <v>0</v>
      </c>
      <c r="W895">
        <v>0</v>
      </c>
      <c r="X895">
        <v>2</v>
      </c>
      <c r="Z895">
        <v>0</v>
      </c>
      <c r="AA895">
        <v>9</v>
      </c>
      <c r="AB895">
        <v>3</v>
      </c>
      <c r="AC895">
        <v>0</v>
      </c>
      <c r="AD895">
        <v>10</v>
      </c>
      <c r="AE895">
        <v>0</v>
      </c>
      <c r="AF895">
        <v>3</v>
      </c>
      <c r="AG895">
        <v>2</v>
      </c>
      <c r="AH895">
        <v>0</v>
      </c>
      <c r="AI895" t="s">
        <v>996</v>
      </c>
      <c r="AJ895">
        <v>45.849015999999999</v>
      </c>
      <c r="AK895" t="s">
        <v>997</v>
      </c>
      <c r="AL895">
        <v>-89.171797999999995</v>
      </c>
      <c r="AM895">
        <v>100</v>
      </c>
      <c r="AN895">
        <v>14800</v>
      </c>
      <c r="AO895" t="s">
        <v>118</v>
      </c>
      <c r="AP895">
        <v>143</v>
      </c>
      <c r="AQ895">
        <v>116</v>
      </c>
      <c r="AR895">
        <v>1536</v>
      </c>
      <c r="AZ895">
        <v>1200</v>
      </c>
      <c r="BA895">
        <v>1</v>
      </c>
      <c r="BB895" t="str">
        <f t="shared" si="45"/>
        <v xml:space="preserve">N690LS  </v>
      </c>
      <c r="BC895">
        <v>1</v>
      </c>
      <c r="BE895">
        <v>0</v>
      </c>
      <c r="BF895">
        <v>0</v>
      </c>
      <c r="BG895">
        <v>0</v>
      </c>
      <c r="BH895">
        <v>15350</v>
      </c>
      <c r="BI895">
        <v>1</v>
      </c>
      <c r="BJ895">
        <v>1</v>
      </c>
      <c r="BK895">
        <v>1</v>
      </c>
      <c r="BL895">
        <v>0</v>
      </c>
      <c r="BO895">
        <v>0</v>
      </c>
      <c r="BP895">
        <v>0</v>
      </c>
      <c r="BW895" t="str">
        <f>"13:57:56.192"</f>
        <v>13:57:56.192</v>
      </c>
      <c r="CJ895">
        <v>0</v>
      </c>
      <c r="CK895">
        <v>2</v>
      </c>
      <c r="CL895">
        <v>0</v>
      </c>
      <c r="CM895">
        <v>2</v>
      </c>
      <c r="CN895">
        <v>0</v>
      </c>
      <c r="CO895">
        <v>7</v>
      </c>
      <c r="CP895" t="s">
        <v>119</v>
      </c>
      <c r="CQ895">
        <v>197</v>
      </c>
      <c r="CR895">
        <v>1</v>
      </c>
      <c r="CW895">
        <v>7456030</v>
      </c>
      <c r="CY895">
        <v>1</v>
      </c>
      <c r="CZ895">
        <v>0</v>
      </c>
      <c r="DA895">
        <v>0</v>
      </c>
      <c r="DB895">
        <v>0</v>
      </c>
      <c r="DC895">
        <v>0</v>
      </c>
      <c r="DD895">
        <v>1</v>
      </c>
      <c r="DE895">
        <v>0</v>
      </c>
      <c r="DF895">
        <v>0</v>
      </c>
      <c r="DG895">
        <v>0</v>
      </c>
      <c r="DH895">
        <v>0</v>
      </c>
      <c r="DI895">
        <v>0</v>
      </c>
    </row>
    <row r="896" spans="1:113" x14ac:dyDescent="0.3">
      <c r="A896" t="str">
        <f>"09/28/2021 13:57:56.391"</f>
        <v>09/28/2021 13:57:56.391</v>
      </c>
      <c r="C896" t="str">
        <f t="shared" si="44"/>
        <v>FFDFD3C0</v>
      </c>
      <c r="D896" t="s">
        <v>113</v>
      </c>
      <c r="E896">
        <v>7</v>
      </c>
      <c r="H896">
        <v>170</v>
      </c>
      <c r="I896" t="s">
        <v>114</v>
      </c>
      <c r="J896" t="s">
        <v>115</v>
      </c>
      <c r="K896">
        <v>0</v>
      </c>
      <c r="L896">
        <v>3</v>
      </c>
      <c r="M896">
        <v>0</v>
      </c>
      <c r="N896">
        <v>2</v>
      </c>
      <c r="O896">
        <v>1</v>
      </c>
      <c r="P896">
        <v>0</v>
      </c>
      <c r="Q896">
        <v>0</v>
      </c>
      <c r="S896" t="str">
        <f>"13:57:56.188"</f>
        <v>13:57:56.188</v>
      </c>
      <c r="T896" t="str">
        <f>"13:57:55.688"</f>
        <v>13:57:55.688</v>
      </c>
      <c r="U896" t="str">
        <f t="shared" si="43"/>
        <v>A92BC1</v>
      </c>
      <c r="V896">
        <v>0</v>
      </c>
      <c r="W896">
        <v>0</v>
      </c>
      <c r="X896">
        <v>2</v>
      </c>
      <c r="Z896">
        <v>0</v>
      </c>
      <c r="AA896">
        <v>9</v>
      </c>
      <c r="AB896">
        <v>3</v>
      </c>
      <c r="AC896">
        <v>0</v>
      </c>
      <c r="AD896">
        <v>10</v>
      </c>
      <c r="AE896">
        <v>0</v>
      </c>
      <c r="AF896">
        <v>3</v>
      </c>
      <c r="AG896">
        <v>2</v>
      </c>
      <c r="AH896">
        <v>0</v>
      </c>
      <c r="AI896" t="s">
        <v>996</v>
      </c>
      <c r="AJ896">
        <v>45.849015999999999</v>
      </c>
      <c r="AK896" t="s">
        <v>997</v>
      </c>
      <c r="AL896">
        <v>-89.171797999999995</v>
      </c>
      <c r="AM896">
        <v>100</v>
      </c>
      <c r="AN896">
        <v>14800</v>
      </c>
      <c r="AO896" t="s">
        <v>118</v>
      </c>
      <c r="AP896">
        <v>143</v>
      </c>
      <c r="AQ896">
        <v>116</v>
      </c>
      <c r="AR896">
        <v>1536</v>
      </c>
      <c r="AZ896">
        <v>1200</v>
      </c>
      <c r="BA896">
        <v>1</v>
      </c>
      <c r="BB896" t="str">
        <f t="shared" si="45"/>
        <v xml:space="preserve">N690LS  </v>
      </c>
      <c r="BC896">
        <v>1</v>
      </c>
      <c r="BE896">
        <v>0</v>
      </c>
      <c r="BF896">
        <v>0</v>
      </c>
      <c r="BG896">
        <v>0</v>
      </c>
      <c r="BH896">
        <v>15350</v>
      </c>
      <c r="BI896">
        <v>1</v>
      </c>
      <c r="BJ896">
        <v>1</v>
      </c>
      <c r="BK896">
        <v>1</v>
      </c>
      <c r="BL896">
        <v>0</v>
      </c>
      <c r="BO896">
        <v>0</v>
      </c>
      <c r="BP896">
        <v>0</v>
      </c>
      <c r="BW896" t="str">
        <f>"13:57:56.192"</f>
        <v>13:57:56.192</v>
      </c>
      <c r="CJ896">
        <v>0</v>
      </c>
      <c r="CK896">
        <v>2</v>
      </c>
      <c r="CL896">
        <v>0</v>
      </c>
      <c r="CM896">
        <v>2</v>
      </c>
      <c r="CN896">
        <v>0</v>
      </c>
      <c r="CO896">
        <v>7</v>
      </c>
      <c r="CP896" t="s">
        <v>119</v>
      </c>
      <c r="CQ896">
        <v>197</v>
      </c>
      <c r="CR896">
        <v>1</v>
      </c>
      <c r="CW896">
        <v>7456030</v>
      </c>
      <c r="CY896">
        <v>1</v>
      </c>
      <c r="CZ896">
        <v>0</v>
      </c>
      <c r="DA896">
        <v>1</v>
      </c>
      <c r="DB896">
        <v>0</v>
      </c>
      <c r="DC896">
        <v>0</v>
      </c>
      <c r="DD896">
        <v>1</v>
      </c>
      <c r="DE896">
        <v>0</v>
      </c>
      <c r="DF896">
        <v>0</v>
      </c>
      <c r="DG896">
        <v>0</v>
      </c>
      <c r="DH896">
        <v>0</v>
      </c>
      <c r="DI896">
        <v>0</v>
      </c>
    </row>
    <row r="897" spans="1:113" x14ac:dyDescent="0.3">
      <c r="A897" t="str">
        <f>"09/28/2021 13:57:57.464"</f>
        <v>09/28/2021 13:57:57.464</v>
      </c>
      <c r="C897" t="str">
        <f t="shared" si="44"/>
        <v>FFDFD3C0</v>
      </c>
      <c r="D897" t="s">
        <v>120</v>
      </c>
      <c r="E897">
        <v>12</v>
      </c>
      <c r="F897">
        <v>1012</v>
      </c>
      <c r="G897" t="s">
        <v>114</v>
      </c>
      <c r="J897" t="s">
        <v>121</v>
      </c>
      <c r="K897">
        <v>0</v>
      </c>
      <c r="L897">
        <v>3</v>
      </c>
      <c r="M897">
        <v>0</v>
      </c>
      <c r="N897">
        <v>2</v>
      </c>
      <c r="O897">
        <v>1</v>
      </c>
      <c r="P897">
        <v>0</v>
      </c>
      <c r="Q897">
        <v>0</v>
      </c>
      <c r="S897" t="str">
        <f>"13:57:57.234"</f>
        <v>13:57:57.234</v>
      </c>
      <c r="T897" t="str">
        <f>"13:57:56.834"</f>
        <v>13:57:56.834</v>
      </c>
      <c r="U897" t="str">
        <f t="shared" si="43"/>
        <v>A92BC1</v>
      </c>
      <c r="V897">
        <v>0</v>
      </c>
      <c r="W897">
        <v>0</v>
      </c>
      <c r="X897">
        <v>2</v>
      </c>
      <c r="Z897">
        <v>0</v>
      </c>
      <c r="AA897">
        <v>9</v>
      </c>
      <c r="AB897">
        <v>3</v>
      </c>
      <c r="AC897">
        <v>0</v>
      </c>
      <c r="AD897">
        <v>10</v>
      </c>
      <c r="AE897">
        <v>0</v>
      </c>
      <c r="AF897">
        <v>3</v>
      </c>
      <c r="AG897">
        <v>2</v>
      </c>
      <c r="AH897">
        <v>0</v>
      </c>
      <c r="AI897" t="s">
        <v>998</v>
      </c>
      <c r="AJ897">
        <v>45.849617000000002</v>
      </c>
      <c r="AK897" t="s">
        <v>999</v>
      </c>
      <c r="AL897">
        <v>-89.170747000000006</v>
      </c>
      <c r="AM897">
        <v>100</v>
      </c>
      <c r="AN897">
        <v>14900</v>
      </c>
      <c r="AO897" t="s">
        <v>118</v>
      </c>
      <c r="AP897">
        <v>143</v>
      </c>
      <c r="AQ897">
        <v>116</v>
      </c>
      <c r="AR897">
        <v>1536</v>
      </c>
      <c r="AZ897">
        <v>1200</v>
      </c>
      <c r="BA897">
        <v>1</v>
      </c>
      <c r="BB897" t="str">
        <f t="shared" si="45"/>
        <v xml:space="preserve">N690LS  </v>
      </c>
      <c r="BC897">
        <v>1</v>
      </c>
      <c r="BE897">
        <v>0</v>
      </c>
      <c r="BF897">
        <v>0</v>
      </c>
      <c r="BG897">
        <v>0</v>
      </c>
      <c r="BH897">
        <v>15375</v>
      </c>
      <c r="BI897">
        <v>1</v>
      </c>
      <c r="BJ897">
        <v>1</v>
      </c>
      <c r="BK897">
        <v>1</v>
      </c>
      <c r="BL897">
        <v>0</v>
      </c>
      <c r="BO897">
        <v>0</v>
      </c>
      <c r="BP897">
        <v>0</v>
      </c>
      <c r="BW897" t="str">
        <f>"13:57:57.236"</f>
        <v>13:57:57.236</v>
      </c>
      <c r="CJ897">
        <v>0</v>
      </c>
      <c r="CK897">
        <v>2</v>
      </c>
      <c r="CL897">
        <v>0</v>
      </c>
      <c r="CM897">
        <v>2</v>
      </c>
      <c r="CN897">
        <v>0</v>
      </c>
      <c r="CO897">
        <v>6</v>
      </c>
      <c r="CP897" t="s">
        <v>119</v>
      </c>
      <c r="CQ897">
        <v>210</v>
      </c>
      <c r="CR897">
        <v>2</v>
      </c>
      <c r="CW897">
        <v>2375385</v>
      </c>
      <c r="CY897">
        <v>1</v>
      </c>
      <c r="CZ897">
        <v>0</v>
      </c>
      <c r="DA897">
        <v>0</v>
      </c>
      <c r="DB897">
        <v>0</v>
      </c>
      <c r="DC897">
        <v>0</v>
      </c>
      <c r="DD897">
        <v>1</v>
      </c>
      <c r="DE897">
        <v>0</v>
      </c>
      <c r="DF897">
        <v>0</v>
      </c>
      <c r="DG897">
        <v>0</v>
      </c>
      <c r="DH897">
        <v>0</v>
      </c>
      <c r="DI897">
        <v>0</v>
      </c>
    </row>
    <row r="898" spans="1:113" x14ac:dyDescent="0.3">
      <c r="A898" t="str">
        <f>"09/28/2021 13:57:57.464"</f>
        <v>09/28/2021 13:57:57.464</v>
      </c>
      <c r="C898" t="str">
        <f t="shared" si="44"/>
        <v>FFDFD3C0</v>
      </c>
      <c r="D898" t="s">
        <v>113</v>
      </c>
      <c r="E898">
        <v>7</v>
      </c>
      <c r="H898">
        <v>170</v>
      </c>
      <c r="I898" t="s">
        <v>114</v>
      </c>
      <c r="J898" t="s">
        <v>115</v>
      </c>
      <c r="K898">
        <v>0</v>
      </c>
      <c r="L898">
        <v>3</v>
      </c>
      <c r="M898">
        <v>0</v>
      </c>
      <c r="N898">
        <v>2</v>
      </c>
      <c r="O898">
        <v>1</v>
      </c>
      <c r="P898">
        <v>0</v>
      </c>
      <c r="Q898">
        <v>0</v>
      </c>
      <c r="S898" t="str">
        <f>"13:57:57.234"</f>
        <v>13:57:57.234</v>
      </c>
      <c r="T898" t="str">
        <f>"13:57:56.834"</f>
        <v>13:57:56.834</v>
      </c>
      <c r="U898" t="str">
        <f t="shared" ref="U898:U961" si="46">"A92BC1"</f>
        <v>A92BC1</v>
      </c>
      <c r="V898">
        <v>0</v>
      </c>
      <c r="W898">
        <v>0</v>
      </c>
      <c r="X898">
        <v>2</v>
      </c>
      <c r="Z898">
        <v>0</v>
      </c>
      <c r="AA898">
        <v>9</v>
      </c>
      <c r="AB898">
        <v>3</v>
      </c>
      <c r="AC898">
        <v>0</v>
      </c>
      <c r="AD898">
        <v>10</v>
      </c>
      <c r="AE898">
        <v>0</v>
      </c>
      <c r="AF898">
        <v>3</v>
      </c>
      <c r="AG898">
        <v>2</v>
      </c>
      <c r="AH898">
        <v>0</v>
      </c>
      <c r="AI898" t="s">
        <v>998</v>
      </c>
      <c r="AJ898">
        <v>45.849617000000002</v>
      </c>
      <c r="AK898" t="s">
        <v>999</v>
      </c>
      <c r="AL898">
        <v>-89.170747000000006</v>
      </c>
      <c r="AM898">
        <v>100</v>
      </c>
      <c r="AN898">
        <v>14900</v>
      </c>
      <c r="AO898" t="s">
        <v>118</v>
      </c>
      <c r="AP898">
        <v>143</v>
      </c>
      <c r="AQ898">
        <v>116</v>
      </c>
      <c r="AR898">
        <v>1536</v>
      </c>
      <c r="AZ898">
        <v>1200</v>
      </c>
      <c r="BA898">
        <v>1</v>
      </c>
      <c r="BB898" t="str">
        <f t="shared" si="45"/>
        <v xml:space="preserve">N690LS  </v>
      </c>
      <c r="BC898">
        <v>1</v>
      </c>
      <c r="BE898">
        <v>0</v>
      </c>
      <c r="BF898">
        <v>0</v>
      </c>
      <c r="BG898">
        <v>0</v>
      </c>
      <c r="BH898">
        <v>15375</v>
      </c>
      <c r="BI898">
        <v>1</v>
      </c>
      <c r="BJ898">
        <v>1</v>
      </c>
      <c r="BK898">
        <v>1</v>
      </c>
      <c r="BL898">
        <v>0</v>
      </c>
      <c r="BO898">
        <v>0</v>
      </c>
      <c r="BP898">
        <v>0</v>
      </c>
      <c r="BW898" t="str">
        <f>"13:57:57.236"</f>
        <v>13:57:57.236</v>
      </c>
      <c r="CJ898">
        <v>0</v>
      </c>
      <c r="CK898">
        <v>2</v>
      </c>
      <c r="CL898">
        <v>0</v>
      </c>
      <c r="CM898">
        <v>2</v>
      </c>
      <c r="CN898">
        <v>0</v>
      </c>
      <c r="CO898">
        <v>6</v>
      </c>
      <c r="CP898" t="s">
        <v>119</v>
      </c>
      <c r="CQ898">
        <v>210</v>
      </c>
      <c r="CR898">
        <v>2</v>
      </c>
      <c r="CW898">
        <v>2375385</v>
      </c>
      <c r="CY898">
        <v>1</v>
      </c>
      <c r="CZ898">
        <v>0</v>
      </c>
      <c r="DA898">
        <v>1</v>
      </c>
      <c r="DB898">
        <v>0</v>
      </c>
      <c r="DC898">
        <v>0</v>
      </c>
      <c r="DD898">
        <v>1</v>
      </c>
      <c r="DE898">
        <v>0</v>
      </c>
      <c r="DF898">
        <v>0</v>
      </c>
      <c r="DG898">
        <v>0</v>
      </c>
      <c r="DH898">
        <v>0</v>
      </c>
      <c r="DI898">
        <v>0</v>
      </c>
    </row>
    <row r="899" spans="1:113" x14ac:dyDescent="0.3">
      <c r="A899" t="str">
        <f>"09/28/2021 13:57:58.496"</f>
        <v>09/28/2021 13:57:58.496</v>
      </c>
      <c r="C899" t="str">
        <f t="shared" si="44"/>
        <v>FFDFD3C0</v>
      </c>
      <c r="D899" t="s">
        <v>120</v>
      </c>
      <c r="E899">
        <v>12</v>
      </c>
      <c r="F899">
        <v>1012</v>
      </c>
      <c r="G899" t="s">
        <v>114</v>
      </c>
      <c r="J899" t="s">
        <v>121</v>
      </c>
      <c r="K899">
        <v>0</v>
      </c>
      <c r="L899">
        <v>3</v>
      </c>
      <c r="M899">
        <v>0</v>
      </c>
      <c r="N899">
        <v>2</v>
      </c>
      <c r="O899">
        <v>1</v>
      </c>
      <c r="P899">
        <v>0</v>
      </c>
      <c r="Q899">
        <v>0</v>
      </c>
      <c r="S899" t="str">
        <f>"13:57:58.328"</f>
        <v>13:57:58.328</v>
      </c>
      <c r="T899" t="str">
        <f>"13:57:57.828"</f>
        <v>13:57:57.828</v>
      </c>
      <c r="U899" t="str">
        <f t="shared" si="46"/>
        <v>A92BC1</v>
      </c>
      <c r="V899">
        <v>0</v>
      </c>
      <c r="W899">
        <v>0</v>
      </c>
      <c r="X899">
        <v>2</v>
      </c>
      <c r="Z899">
        <v>0</v>
      </c>
      <c r="AA899">
        <v>9</v>
      </c>
      <c r="AB899">
        <v>3</v>
      </c>
      <c r="AC899">
        <v>0</v>
      </c>
      <c r="AD899">
        <v>10</v>
      </c>
      <c r="AE899">
        <v>0</v>
      </c>
      <c r="AF899">
        <v>3</v>
      </c>
      <c r="AG899">
        <v>2</v>
      </c>
      <c r="AH899">
        <v>0</v>
      </c>
      <c r="AI899" t="s">
        <v>1000</v>
      </c>
      <c r="AJ899">
        <v>45.850195999999997</v>
      </c>
      <c r="AK899" t="s">
        <v>1001</v>
      </c>
      <c r="AL899">
        <v>-89.169737999999995</v>
      </c>
      <c r="AM899">
        <v>100</v>
      </c>
      <c r="AN899">
        <v>14900</v>
      </c>
      <c r="AO899" t="s">
        <v>118</v>
      </c>
      <c r="AP899">
        <v>143</v>
      </c>
      <c r="AQ899">
        <v>116</v>
      </c>
      <c r="AR899">
        <v>1536</v>
      </c>
      <c r="AZ899">
        <v>1200</v>
      </c>
      <c r="BA899">
        <v>1</v>
      </c>
      <c r="BB899" t="str">
        <f t="shared" si="45"/>
        <v xml:space="preserve">N690LS  </v>
      </c>
      <c r="BC899">
        <v>1</v>
      </c>
      <c r="BE899">
        <v>0</v>
      </c>
      <c r="BF899">
        <v>0</v>
      </c>
      <c r="BG899">
        <v>0</v>
      </c>
      <c r="BH899">
        <v>15400</v>
      </c>
      <c r="BI899">
        <v>1</v>
      </c>
      <c r="BJ899">
        <v>1</v>
      </c>
      <c r="BK899">
        <v>1</v>
      </c>
      <c r="BL899">
        <v>0</v>
      </c>
      <c r="BO899">
        <v>0</v>
      </c>
      <c r="BP899">
        <v>0</v>
      </c>
      <c r="BW899" t="str">
        <f>"13:57:58.329"</f>
        <v>13:57:58.329</v>
      </c>
      <c r="CJ899">
        <v>0</v>
      </c>
      <c r="CK899">
        <v>2</v>
      </c>
      <c r="CL899">
        <v>0</v>
      </c>
      <c r="CM899">
        <v>2</v>
      </c>
      <c r="CN899">
        <v>0</v>
      </c>
      <c r="CO899">
        <v>6</v>
      </c>
      <c r="CP899" t="s">
        <v>119</v>
      </c>
      <c r="CQ899">
        <v>210</v>
      </c>
      <c r="CR899">
        <v>2</v>
      </c>
      <c r="CW899">
        <v>2376120</v>
      </c>
      <c r="CY899">
        <v>1</v>
      </c>
      <c r="CZ899">
        <v>0</v>
      </c>
      <c r="DA899">
        <v>0</v>
      </c>
      <c r="DB899">
        <v>0</v>
      </c>
      <c r="DC899">
        <v>0</v>
      </c>
      <c r="DD899">
        <v>1</v>
      </c>
      <c r="DE899">
        <v>0</v>
      </c>
      <c r="DF899">
        <v>0</v>
      </c>
      <c r="DG899">
        <v>0</v>
      </c>
      <c r="DH899">
        <v>0</v>
      </c>
      <c r="DI899">
        <v>0</v>
      </c>
    </row>
    <row r="900" spans="1:113" x14ac:dyDescent="0.3">
      <c r="A900" t="str">
        <f>"09/28/2021 13:57:58.574"</f>
        <v>09/28/2021 13:57:58.574</v>
      </c>
      <c r="C900" t="str">
        <f t="shared" si="44"/>
        <v>FFDFD3C0</v>
      </c>
      <c r="D900" t="s">
        <v>113</v>
      </c>
      <c r="E900">
        <v>7</v>
      </c>
      <c r="H900">
        <v>170</v>
      </c>
      <c r="I900" t="s">
        <v>114</v>
      </c>
      <c r="J900" t="s">
        <v>115</v>
      </c>
      <c r="K900">
        <v>0</v>
      </c>
      <c r="L900">
        <v>3</v>
      </c>
      <c r="M900">
        <v>0</v>
      </c>
      <c r="N900">
        <v>2</v>
      </c>
      <c r="O900">
        <v>1</v>
      </c>
      <c r="P900">
        <v>0</v>
      </c>
      <c r="Q900">
        <v>0</v>
      </c>
      <c r="S900" t="str">
        <f>"13:57:58.328"</f>
        <v>13:57:58.328</v>
      </c>
      <c r="T900" t="str">
        <f>"13:57:57.828"</f>
        <v>13:57:57.828</v>
      </c>
      <c r="U900" t="str">
        <f t="shared" si="46"/>
        <v>A92BC1</v>
      </c>
      <c r="V900">
        <v>0</v>
      </c>
      <c r="W900">
        <v>0</v>
      </c>
      <c r="X900">
        <v>2</v>
      </c>
      <c r="Z900">
        <v>0</v>
      </c>
      <c r="AA900">
        <v>9</v>
      </c>
      <c r="AB900">
        <v>3</v>
      </c>
      <c r="AC900">
        <v>0</v>
      </c>
      <c r="AD900">
        <v>10</v>
      </c>
      <c r="AE900">
        <v>0</v>
      </c>
      <c r="AF900">
        <v>3</v>
      </c>
      <c r="AG900">
        <v>2</v>
      </c>
      <c r="AH900">
        <v>0</v>
      </c>
      <c r="AI900" t="s">
        <v>1000</v>
      </c>
      <c r="AJ900">
        <v>45.850195999999997</v>
      </c>
      <c r="AK900" t="s">
        <v>1001</v>
      </c>
      <c r="AL900">
        <v>-89.169737999999995</v>
      </c>
      <c r="AM900">
        <v>100</v>
      </c>
      <c r="AN900">
        <v>14900</v>
      </c>
      <c r="AO900" t="s">
        <v>118</v>
      </c>
      <c r="AP900">
        <v>143</v>
      </c>
      <c r="AQ900">
        <v>116</v>
      </c>
      <c r="AR900">
        <v>1536</v>
      </c>
      <c r="AZ900">
        <v>1200</v>
      </c>
      <c r="BA900">
        <v>1</v>
      </c>
      <c r="BB900" t="str">
        <f t="shared" si="45"/>
        <v xml:space="preserve">N690LS  </v>
      </c>
      <c r="BC900">
        <v>1</v>
      </c>
      <c r="BE900">
        <v>0</v>
      </c>
      <c r="BF900">
        <v>0</v>
      </c>
      <c r="BG900">
        <v>0</v>
      </c>
      <c r="BH900">
        <v>15400</v>
      </c>
      <c r="BI900">
        <v>1</v>
      </c>
      <c r="BJ900">
        <v>1</v>
      </c>
      <c r="BK900">
        <v>1</v>
      </c>
      <c r="BL900">
        <v>0</v>
      </c>
      <c r="BO900">
        <v>0</v>
      </c>
      <c r="BP900">
        <v>0</v>
      </c>
      <c r="BW900" t="str">
        <f>"13:57:58.329"</f>
        <v>13:57:58.329</v>
      </c>
      <c r="CJ900">
        <v>0</v>
      </c>
      <c r="CK900">
        <v>2</v>
      </c>
      <c r="CL900">
        <v>0</v>
      </c>
      <c r="CM900">
        <v>2</v>
      </c>
      <c r="CN900">
        <v>0</v>
      </c>
      <c r="CO900">
        <v>6</v>
      </c>
      <c r="CP900" t="s">
        <v>119</v>
      </c>
      <c r="CQ900">
        <v>210</v>
      </c>
      <c r="CR900">
        <v>2</v>
      </c>
      <c r="CW900">
        <v>2376120</v>
      </c>
      <c r="CY900">
        <v>1</v>
      </c>
      <c r="CZ900">
        <v>0</v>
      </c>
      <c r="DA900">
        <v>1</v>
      </c>
      <c r="DB900">
        <v>0</v>
      </c>
      <c r="DC900">
        <v>0</v>
      </c>
      <c r="DD900">
        <v>1</v>
      </c>
      <c r="DE900">
        <v>0</v>
      </c>
      <c r="DF900">
        <v>0</v>
      </c>
      <c r="DG900">
        <v>0</v>
      </c>
      <c r="DH900">
        <v>0</v>
      </c>
      <c r="DI900">
        <v>0</v>
      </c>
    </row>
    <row r="901" spans="1:113" x14ac:dyDescent="0.3">
      <c r="A901" t="str">
        <f>"09/28/2021 13:57:59.591"</f>
        <v>09/28/2021 13:57:59.591</v>
      </c>
      <c r="C901" t="str">
        <f t="shared" si="44"/>
        <v>FFDFD3C0</v>
      </c>
      <c r="D901" t="s">
        <v>113</v>
      </c>
      <c r="E901">
        <v>7</v>
      </c>
      <c r="H901">
        <v>170</v>
      </c>
      <c r="I901" t="s">
        <v>114</v>
      </c>
      <c r="J901" t="s">
        <v>115</v>
      </c>
      <c r="K901">
        <v>0</v>
      </c>
      <c r="L901">
        <v>3</v>
      </c>
      <c r="M901">
        <v>0</v>
      </c>
      <c r="N901">
        <v>2</v>
      </c>
      <c r="O901">
        <v>1</v>
      </c>
      <c r="P901">
        <v>0</v>
      </c>
      <c r="Q901">
        <v>0</v>
      </c>
      <c r="S901" t="str">
        <f>"13:57:59.359"</f>
        <v>13:57:59.359</v>
      </c>
      <c r="T901" t="str">
        <f>"13:57:58.959"</f>
        <v>13:57:58.959</v>
      </c>
      <c r="U901" t="str">
        <f t="shared" si="46"/>
        <v>A92BC1</v>
      </c>
      <c r="V901">
        <v>0</v>
      </c>
      <c r="W901">
        <v>0</v>
      </c>
      <c r="X901">
        <v>2</v>
      </c>
      <c r="Z901">
        <v>0</v>
      </c>
      <c r="AA901">
        <v>9</v>
      </c>
      <c r="AB901">
        <v>3</v>
      </c>
      <c r="AC901">
        <v>0</v>
      </c>
      <c r="AD901">
        <v>10</v>
      </c>
      <c r="AE901">
        <v>0</v>
      </c>
      <c r="AF901">
        <v>3</v>
      </c>
      <c r="AG901">
        <v>2</v>
      </c>
      <c r="AH901">
        <v>0</v>
      </c>
      <c r="AI901" t="s">
        <v>1002</v>
      </c>
      <c r="AJ901">
        <v>45.850754000000002</v>
      </c>
      <c r="AK901" t="s">
        <v>1003</v>
      </c>
      <c r="AL901">
        <v>-89.168794000000005</v>
      </c>
      <c r="AM901">
        <v>100</v>
      </c>
      <c r="AN901">
        <v>14900</v>
      </c>
      <c r="AO901" t="s">
        <v>118</v>
      </c>
      <c r="AP901">
        <v>143</v>
      </c>
      <c r="AQ901">
        <v>116</v>
      </c>
      <c r="AR901">
        <v>1536</v>
      </c>
      <c r="AZ901">
        <v>1200</v>
      </c>
      <c r="BA901">
        <v>1</v>
      </c>
      <c r="BB901" t="str">
        <f t="shared" si="45"/>
        <v xml:space="preserve">N690LS  </v>
      </c>
      <c r="BC901">
        <v>1</v>
      </c>
      <c r="BE901">
        <v>0</v>
      </c>
      <c r="BF901">
        <v>0</v>
      </c>
      <c r="BG901">
        <v>0</v>
      </c>
      <c r="BH901">
        <v>15425</v>
      </c>
      <c r="BI901">
        <v>1</v>
      </c>
      <c r="BJ901">
        <v>1</v>
      </c>
      <c r="BK901">
        <v>1</v>
      </c>
      <c r="BL901">
        <v>0</v>
      </c>
      <c r="BO901">
        <v>0</v>
      </c>
      <c r="BP901">
        <v>0</v>
      </c>
      <c r="BW901" t="str">
        <f>"13:57:59.363"</f>
        <v>13:57:59.363</v>
      </c>
      <c r="CJ901">
        <v>0</v>
      </c>
      <c r="CK901">
        <v>2</v>
      </c>
      <c r="CL901">
        <v>0</v>
      </c>
      <c r="CM901">
        <v>2</v>
      </c>
      <c r="CN901">
        <v>0</v>
      </c>
      <c r="CO901">
        <v>6</v>
      </c>
      <c r="CP901" t="s">
        <v>119</v>
      </c>
      <c r="CQ901">
        <v>209</v>
      </c>
      <c r="CR901">
        <v>3</v>
      </c>
      <c r="CW901">
        <v>7249210</v>
      </c>
      <c r="CY901">
        <v>1</v>
      </c>
      <c r="CZ901">
        <v>0</v>
      </c>
      <c r="DA901">
        <v>0</v>
      </c>
      <c r="DB901">
        <v>0</v>
      </c>
      <c r="DC901">
        <v>0</v>
      </c>
      <c r="DD901">
        <v>1</v>
      </c>
      <c r="DE901">
        <v>0</v>
      </c>
      <c r="DF901">
        <v>0</v>
      </c>
      <c r="DG901">
        <v>0</v>
      </c>
      <c r="DH901">
        <v>0</v>
      </c>
      <c r="DI901">
        <v>0</v>
      </c>
    </row>
    <row r="902" spans="1:113" x14ac:dyDescent="0.3">
      <c r="A902" t="str">
        <f>"09/28/2021 13:57:59.591"</f>
        <v>09/28/2021 13:57:59.591</v>
      </c>
      <c r="C902" t="str">
        <f t="shared" si="44"/>
        <v>FFDFD3C0</v>
      </c>
      <c r="D902" t="s">
        <v>120</v>
      </c>
      <c r="E902">
        <v>12</v>
      </c>
      <c r="F902">
        <v>1012</v>
      </c>
      <c r="G902" t="s">
        <v>114</v>
      </c>
      <c r="J902" t="s">
        <v>121</v>
      </c>
      <c r="K902">
        <v>0</v>
      </c>
      <c r="L902">
        <v>3</v>
      </c>
      <c r="M902">
        <v>0</v>
      </c>
      <c r="N902">
        <v>2</v>
      </c>
      <c r="O902">
        <v>1</v>
      </c>
      <c r="P902">
        <v>0</v>
      </c>
      <c r="Q902">
        <v>0</v>
      </c>
      <c r="S902" t="str">
        <f>"13:57:59.359"</f>
        <v>13:57:59.359</v>
      </c>
      <c r="T902" t="str">
        <f>"13:57:58.959"</f>
        <v>13:57:58.959</v>
      </c>
      <c r="U902" t="str">
        <f t="shared" si="46"/>
        <v>A92BC1</v>
      </c>
      <c r="V902">
        <v>0</v>
      </c>
      <c r="W902">
        <v>0</v>
      </c>
      <c r="X902">
        <v>2</v>
      </c>
      <c r="Z902">
        <v>0</v>
      </c>
      <c r="AA902">
        <v>9</v>
      </c>
      <c r="AB902">
        <v>3</v>
      </c>
      <c r="AC902">
        <v>0</v>
      </c>
      <c r="AD902">
        <v>10</v>
      </c>
      <c r="AE902">
        <v>0</v>
      </c>
      <c r="AF902">
        <v>3</v>
      </c>
      <c r="AG902">
        <v>2</v>
      </c>
      <c r="AH902">
        <v>0</v>
      </c>
      <c r="AI902" t="s">
        <v>1002</v>
      </c>
      <c r="AJ902">
        <v>45.850754000000002</v>
      </c>
      <c r="AK902" t="s">
        <v>1003</v>
      </c>
      <c r="AL902">
        <v>-89.168794000000005</v>
      </c>
      <c r="AM902">
        <v>100</v>
      </c>
      <c r="AN902">
        <v>14900</v>
      </c>
      <c r="AO902" t="s">
        <v>118</v>
      </c>
      <c r="AP902">
        <v>143</v>
      </c>
      <c r="AQ902">
        <v>116</v>
      </c>
      <c r="AR902">
        <v>1536</v>
      </c>
      <c r="AZ902">
        <v>1200</v>
      </c>
      <c r="BA902">
        <v>1</v>
      </c>
      <c r="BB902" t="str">
        <f t="shared" si="45"/>
        <v xml:space="preserve">N690LS  </v>
      </c>
      <c r="BC902">
        <v>1</v>
      </c>
      <c r="BE902">
        <v>0</v>
      </c>
      <c r="BF902">
        <v>0</v>
      </c>
      <c r="BG902">
        <v>0</v>
      </c>
      <c r="BH902">
        <v>15425</v>
      </c>
      <c r="BI902">
        <v>1</v>
      </c>
      <c r="BJ902">
        <v>1</v>
      </c>
      <c r="BK902">
        <v>1</v>
      </c>
      <c r="BL902">
        <v>0</v>
      </c>
      <c r="BO902">
        <v>0</v>
      </c>
      <c r="BP902">
        <v>0</v>
      </c>
      <c r="BW902" t="str">
        <f>"13:57:59.363"</f>
        <v>13:57:59.363</v>
      </c>
      <c r="CJ902">
        <v>0</v>
      </c>
      <c r="CK902">
        <v>2</v>
      </c>
      <c r="CL902">
        <v>0</v>
      </c>
      <c r="CM902">
        <v>2</v>
      </c>
      <c r="CN902">
        <v>0</v>
      </c>
      <c r="CO902">
        <v>6</v>
      </c>
      <c r="CP902" t="s">
        <v>119</v>
      </c>
      <c r="CQ902">
        <v>209</v>
      </c>
      <c r="CR902">
        <v>3</v>
      </c>
      <c r="CW902">
        <v>7249210</v>
      </c>
      <c r="CY902">
        <v>1</v>
      </c>
      <c r="CZ902">
        <v>0</v>
      </c>
      <c r="DA902">
        <v>1</v>
      </c>
      <c r="DB902">
        <v>0</v>
      </c>
      <c r="DC902">
        <v>0</v>
      </c>
      <c r="DD902">
        <v>1</v>
      </c>
      <c r="DE902">
        <v>0</v>
      </c>
      <c r="DF902">
        <v>0</v>
      </c>
      <c r="DG902">
        <v>0</v>
      </c>
      <c r="DH902">
        <v>0</v>
      </c>
      <c r="DI902">
        <v>0</v>
      </c>
    </row>
    <row r="903" spans="1:113" x14ac:dyDescent="0.3">
      <c r="A903" t="str">
        <f>"09/28/2021 13:58:00.450"</f>
        <v>09/28/2021 13:58:00.450</v>
      </c>
      <c r="C903" t="str">
        <f t="shared" si="44"/>
        <v>FFDFD3C0</v>
      </c>
      <c r="D903" t="s">
        <v>113</v>
      </c>
      <c r="E903">
        <v>7</v>
      </c>
      <c r="H903">
        <v>170</v>
      </c>
      <c r="I903" t="s">
        <v>114</v>
      </c>
      <c r="J903" t="s">
        <v>115</v>
      </c>
      <c r="K903">
        <v>0</v>
      </c>
      <c r="L903">
        <v>3</v>
      </c>
      <c r="M903">
        <v>0</v>
      </c>
      <c r="N903">
        <v>2</v>
      </c>
      <c r="O903">
        <v>1</v>
      </c>
      <c r="P903">
        <v>0</v>
      </c>
      <c r="Q903">
        <v>0</v>
      </c>
      <c r="S903" t="str">
        <f>"13:58:00.250"</f>
        <v>13:58:00.250</v>
      </c>
      <c r="T903" t="str">
        <f>"13:57:59.850"</f>
        <v>13:57:59.850</v>
      </c>
      <c r="U903" t="str">
        <f t="shared" si="46"/>
        <v>A92BC1</v>
      </c>
      <c r="V903">
        <v>0</v>
      </c>
      <c r="W903">
        <v>0</v>
      </c>
      <c r="X903">
        <v>2</v>
      </c>
      <c r="Z903">
        <v>0</v>
      </c>
      <c r="AA903">
        <v>9</v>
      </c>
      <c r="AB903">
        <v>3</v>
      </c>
      <c r="AC903">
        <v>0</v>
      </c>
      <c r="AD903">
        <v>10</v>
      </c>
      <c r="AE903">
        <v>0</v>
      </c>
      <c r="AF903">
        <v>3</v>
      </c>
      <c r="AG903">
        <v>2</v>
      </c>
      <c r="AH903">
        <v>0</v>
      </c>
      <c r="AI903" t="s">
        <v>1004</v>
      </c>
      <c r="AJ903">
        <v>45.851204000000003</v>
      </c>
      <c r="AK903" t="s">
        <v>1005</v>
      </c>
      <c r="AL903">
        <v>-89.167913999999996</v>
      </c>
      <c r="AM903">
        <v>100</v>
      </c>
      <c r="AN903">
        <v>14900</v>
      </c>
      <c r="AO903" t="s">
        <v>118</v>
      </c>
      <c r="AP903">
        <v>143</v>
      </c>
      <c r="AQ903">
        <v>116</v>
      </c>
      <c r="AR903">
        <v>1536</v>
      </c>
      <c r="AZ903">
        <v>1200</v>
      </c>
      <c r="BA903">
        <v>1</v>
      </c>
      <c r="BB903" t="str">
        <f t="shared" si="45"/>
        <v xml:space="preserve">N690LS  </v>
      </c>
      <c r="BC903">
        <v>1</v>
      </c>
      <c r="BE903">
        <v>0</v>
      </c>
      <c r="BF903">
        <v>0</v>
      </c>
      <c r="BG903">
        <v>0</v>
      </c>
      <c r="BH903">
        <v>15450</v>
      </c>
      <c r="BI903">
        <v>1</v>
      </c>
      <c r="BJ903">
        <v>1</v>
      </c>
      <c r="BK903">
        <v>1</v>
      </c>
      <c r="BL903">
        <v>0</v>
      </c>
      <c r="BO903">
        <v>0</v>
      </c>
      <c r="BP903">
        <v>0</v>
      </c>
      <c r="BW903" t="str">
        <f>"13:58:00.256"</f>
        <v>13:58:00.256</v>
      </c>
      <c r="CJ903">
        <v>0</v>
      </c>
      <c r="CK903">
        <v>2</v>
      </c>
      <c r="CL903">
        <v>0</v>
      </c>
      <c r="CM903">
        <v>2</v>
      </c>
      <c r="CN903">
        <v>0</v>
      </c>
      <c r="CO903">
        <v>7</v>
      </c>
      <c r="CP903" t="s">
        <v>119</v>
      </c>
      <c r="CQ903">
        <v>197</v>
      </c>
      <c r="CR903">
        <v>0</v>
      </c>
      <c r="CW903">
        <v>16069219</v>
      </c>
      <c r="CY903">
        <v>1</v>
      </c>
      <c r="CZ903">
        <v>0</v>
      </c>
      <c r="DA903">
        <v>0</v>
      </c>
      <c r="DB903">
        <v>0</v>
      </c>
      <c r="DC903">
        <v>0</v>
      </c>
      <c r="DD903">
        <v>1</v>
      </c>
      <c r="DE903">
        <v>0</v>
      </c>
      <c r="DF903">
        <v>0</v>
      </c>
      <c r="DG903">
        <v>0</v>
      </c>
      <c r="DH903">
        <v>0</v>
      </c>
      <c r="DI903">
        <v>0</v>
      </c>
    </row>
    <row r="904" spans="1:113" x14ac:dyDescent="0.3">
      <c r="A904" t="str">
        <f>"09/28/2021 13:58:00.466"</f>
        <v>09/28/2021 13:58:00.466</v>
      </c>
      <c r="C904" t="str">
        <f t="shared" si="44"/>
        <v>FFDFD3C0</v>
      </c>
      <c r="D904" t="s">
        <v>120</v>
      </c>
      <c r="E904">
        <v>12</v>
      </c>
      <c r="F904">
        <v>1012</v>
      </c>
      <c r="G904" t="s">
        <v>114</v>
      </c>
      <c r="J904" t="s">
        <v>121</v>
      </c>
      <c r="K904">
        <v>0</v>
      </c>
      <c r="L904">
        <v>3</v>
      </c>
      <c r="M904">
        <v>0</v>
      </c>
      <c r="N904">
        <v>2</v>
      </c>
      <c r="O904">
        <v>1</v>
      </c>
      <c r="P904">
        <v>0</v>
      </c>
      <c r="Q904">
        <v>0</v>
      </c>
      <c r="S904" t="str">
        <f>"13:58:00.250"</f>
        <v>13:58:00.250</v>
      </c>
      <c r="T904" t="str">
        <f>"13:57:59.850"</f>
        <v>13:57:59.850</v>
      </c>
      <c r="U904" t="str">
        <f t="shared" si="46"/>
        <v>A92BC1</v>
      </c>
      <c r="V904">
        <v>0</v>
      </c>
      <c r="W904">
        <v>0</v>
      </c>
      <c r="X904">
        <v>2</v>
      </c>
      <c r="Z904">
        <v>0</v>
      </c>
      <c r="AA904">
        <v>9</v>
      </c>
      <c r="AB904">
        <v>3</v>
      </c>
      <c r="AC904">
        <v>0</v>
      </c>
      <c r="AD904">
        <v>10</v>
      </c>
      <c r="AE904">
        <v>0</v>
      </c>
      <c r="AF904">
        <v>3</v>
      </c>
      <c r="AG904">
        <v>2</v>
      </c>
      <c r="AH904">
        <v>0</v>
      </c>
      <c r="AI904" t="s">
        <v>1004</v>
      </c>
      <c r="AJ904">
        <v>45.851204000000003</v>
      </c>
      <c r="AK904" t="s">
        <v>1005</v>
      </c>
      <c r="AL904">
        <v>-89.167913999999996</v>
      </c>
      <c r="AM904">
        <v>100</v>
      </c>
      <c r="AN904">
        <v>14900</v>
      </c>
      <c r="AO904" t="s">
        <v>118</v>
      </c>
      <c r="AP904">
        <v>143</v>
      </c>
      <c r="AQ904">
        <v>116</v>
      </c>
      <c r="AR904">
        <v>1536</v>
      </c>
      <c r="AZ904">
        <v>1200</v>
      </c>
      <c r="BA904">
        <v>1</v>
      </c>
      <c r="BB904" t="str">
        <f t="shared" si="45"/>
        <v xml:space="preserve">N690LS  </v>
      </c>
      <c r="BC904">
        <v>1</v>
      </c>
      <c r="BE904">
        <v>0</v>
      </c>
      <c r="BF904">
        <v>0</v>
      </c>
      <c r="BG904">
        <v>0</v>
      </c>
      <c r="BH904">
        <v>15450</v>
      </c>
      <c r="BI904">
        <v>1</v>
      </c>
      <c r="BJ904">
        <v>1</v>
      </c>
      <c r="BK904">
        <v>1</v>
      </c>
      <c r="BL904">
        <v>0</v>
      </c>
      <c r="BO904">
        <v>0</v>
      </c>
      <c r="BP904">
        <v>0</v>
      </c>
      <c r="BW904" t="str">
        <f>"13:58:00.256"</f>
        <v>13:58:00.256</v>
      </c>
      <c r="CJ904">
        <v>0</v>
      </c>
      <c r="CK904">
        <v>2</v>
      </c>
      <c r="CL904">
        <v>0</v>
      </c>
      <c r="CM904">
        <v>2</v>
      </c>
      <c r="CN904">
        <v>0</v>
      </c>
      <c r="CO904">
        <v>7</v>
      </c>
      <c r="CP904" t="s">
        <v>119</v>
      </c>
      <c r="CQ904">
        <v>197</v>
      </c>
      <c r="CR904">
        <v>0</v>
      </c>
      <c r="CW904">
        <v>16069219</v>
      </c>
      <c r="CY904">
        <v>1</v>
      </c>
      <c r="CZ904">
        <v>0</v>
      </c>
      <c r="DA904">
        <v>1</v>
      </c>
      <c r="DB904">
        <v>0</v>
      </c>
      <c r="DC904">
        <v>0</v>
      </c>
      <c r="DD904">
        <v>1</v>
      </c>
      <c r="DE904">
        <v>0</v>
      </c>
      <c r="DF904">
        <v>0</v>
      </c>
      <c r="DG904">
        <v>0</v>
      </c>
      <c r="DH904">
        <v>0</v>
      </c>
      <c r="DI904">
        <v>0</v>
      </c>
    </row>
    <row r="905" spans="1:113" x14ac:dyDescent="0.3">
      <c r="A905" t="str">
        <f>"09/28/2021 13:58:01.419"</f>
        <v>09/28/2021 13:58:01.419</v>
      </c>
      <c r="C905" t="str">
        <f t="shared" si="44"/>
        <v>FFDFD3C0</v>
      </c>
      <c r="D905" t="s">
        <v>120</v>
      </c>
      <c r="E905">
        <v>12</v>
      </c>
      <c r="F905">
        <v>1012</v>
      </c>
      <c r="G905" t="s">
        <v>114</v>
      </c>
      <c r="J905" t="s">
        <v>121</v>
      </c>
      <c r="K905">
        <v>0</v>
      </c>
      <c r="L905">
        <v>3</v>
      </c>
      <c r="M905">
        <v>0</v>
      </c>
      <c r="N905">
        <v>2</v>
      </c>
      <c r="O905">
        <v>1</v>
      </c>
      <c r="P905">
        <v>0</v>
      </c>
      <c r="Q905">
        <v>0</v>
      </c>
      <c r="S905" t="str">
        <f>"13:58:01.258"</f>
        <v>13:58:01.258</v>
      </c>
      <c r="T905" t="str">
        <f>"13:58:00.758"</f>
        <v>13:58:00.758</v>
      </c>
      <c r="U905" t="str">
        <f t="shared" si="46"/>
        <v>A92BC1</v>
      </c>
      <c r="V905">
        <v>0</v>
      </c>
      <c r="W905">
        <v>0</v>
      </c>
      <c r="X905">
        <v>2</v>
      </c>
      <c r="Z905">
        <v>0</v>
      </c>
      <c r="AA905">
        <v>9</v>
      </c>
      <c r="AB905">
        <v>3</v>
      </c>
      <c r="AC905">
        <v>0</v>
      </c>
      <c r="AD905">
        <v>10</v>
      </c>
      <c r="AE905">
        <v>0</v>
      </c>
      <c r="AF905">
        <v>3</v>
      </c>
      <c r="AG905">
        <v>2</v>
      </c>
      <c r="AH905">
        <v>0</v>
      </c>
      <c r="AI905" t="s">
        <v>1006</v>
      </c>
      <c r="AJ905">
        <v>45.851762000000001</v>
      </c>
      <c r="AK905" t="s">
        <v>1007</v>
      </c>
      <c r="AL905">
        <v>-89.166970000000006</v>
      </c>
      <c r="AM905">
        <v>100</v>
      </c>
      <c r="AN905">
        <v>15000</v>
      </c>
      <c r="AO905" t="s">
        <v>118</v>
      </c>
      <c r="AP905">
        <v>143</v>
      </c>
      <c r="AQ905">
        <v>116</v>
      </c>
      <c r="AR905">
        <v>1536</v>
      </c>
      <c r="AZ905">
        <v>1200</v>
      </c>
      <c r="BA905">
        <v>1</v>
      </c>
      <c r="BB905" t="str">
        <f t="shared" si="45"/>
        <v xml:space="preserve">N690LS  </v>
      </c>
      <c r="BC905">
        <v>1</v>
      </c>
      <c r="BE905">
        <v>0</v>
      </c>
      <c r="BF905">
        <v>0</v>
      </c>
      <c r="BG905">
        <v>0</v>
      </c>
      <c r="BH905">
        <v>15475</v>
      </c>
      <c r="BI905">
        <v>1</v>
      </c>
      <c r="BJ905">
        <v>1</v>
      </c>
      <c r="BK905">
        <v>1</v>
      </c>
      <c r="BL905">
        <v>0</v>
      </c>
      <c r="BO905">
        <v>0</v>
      </c>
      <c r="BP905">
        <v>0</v>
      </c>
      <c r="BW905" t="str">
        <f>"13:58:01.262"</f>
        <v>13:58:01.262</v>
      </c>
      <c r="CJ905">
        <v>0</v>
      </c>
      <c r="CK905">
        <v>2</v>
      </c>
      <c r="CL905">
        <v>0</v>
      </c>
      <c r="CM905">
        <v>2</v>
      </c>
      <c r="CN905">
        <v>0</v>
      </c>
      <c r="CO905">
        <v>6</v>
      </c>
      <c r="CP905" t="s">
        <v>119</v>
      </c>
      <c r="CQ905">
        <v>209</v>
      </c>
      <c r="CR905">
        <v>3</v>
      </c>
      <c r="CW905">
        <v>7249766</v>
      </c>
      <c r="CY905">
        <v>1</v>
      </c>
      <c r="CZ905">
        <v>0</v>
      </c>
      <c r="DA905">
        <v>0</v>
      </c>
      <c r="DB905">
        <v>0</v>
      </c>
      <c r="DC905">
        <v>0</v>
      </c>
      <c r="DD905">
        <v>1</v>
      </c>
      <c r="DE905">
        <v>0</v>
      </c>
      <c r="DF905">
        <v>0</v>
      </c>
      <c r="DG905">
        <v>0</v>
      </c>
      <c r="DH905">
        <v>0</v>
      </c>
      <c r="DI905">
        <v>0</v>
      </c>
    </row>
    <row r="906" spans="1:113" x14ac:dyDescent="0.3">
      <c r="A906" t="str">
        <f>"09/28/2021 13:58:01.466"</f>
        <v>09/28/2021 13:58:01.466</v>
      </c>
      <c r="C906" t="str">
        <f t="shared" si="44"/>
        <v>FFDFD3C0</v>
      </c>
      <c r="D906" t="s">
        <v>113</v>
      </c>
      <c r="E906">
        <v>7</v>
      </c>
      <c r="H906">
        <v>170</v>
      </c>
      <c r="I906" t="s">
        <v>114</v>
      </c>
      <c r="J906" t="s">
        <v>115</v>
      </c>
      <c r="K906">
        <v>0</v>
      </c>
      <c r="L906">
        <v>3</v>
      </c>
      <c r="M906">
        <v>0</v>
      </c>
      <c r="N906">
        <v>2</v>
      </c>
      <c r="O906">
        <v>1</v>
      </c>
      <c r="P906">
        <v>0</v>
      </c>
      <c r="Q906">
        <v>0</v>
      </c>
      <c r="S906" t="str">
        <f>"13:58:01.258"</f>
        <v>13:58:01.258</v>
      </c>
      <c r="T906" t="str">
        <f>"13:58:00.758"</f>
        <v>13:58:00.758</v>
      </c>
      <c r="U906" t="str">
        <f t="shared" si="46"/>
        <v>A92BC1</v>
      </c>
      <c r="V906">
        <v>0</v>
      </c>
      <c r="W906">
        <v>0</v>
      </c>
      <c r="X906">
        <v>2</v>
      </c>
      <c r="Z906">
        <v>0</v>
      </c>
      <c r="AA906">
        <v>9</v>
      </c>
      <c r="AB906">
        <v>3</v>
      </c>
      <c r="AC906">
        <v>0</v>
      </c>
      <c r="AD906">
        <v>10</v>
      </c>
      <c r="AE906">
        <v>0</v>
      </c>
      <c r="AF906">
        <v>3</v>
      </c>
      <c r="AG906">
        <v>2</v>
      </c>
      <c r="AH906">
        <v>0</v>
      </c>
      <c r="AI906" t="s">
        <v>1006</v>
      </c>
      <c r="AJ906">
        <v>45.851762000000001</v>
      </c>
      <c r="AK906" t="s">
        <v>1007</v>
      </c>
      <c r="AL906">
        <v>-89.166970000000006</v>
      </c>
      <c r="AM906">
        <v>100</v>
      </c>
      <c r="AN906">
        <v>15000</v>
      </c>
      <c r="AO906" t="s">
        <v>118</v>
      </c>
      <c r="AP906">
        <v>143</v>
      </c>
      <c r="AQ906">
        <v>116</v>
      </c>
      <c r="AR906">
        <v>1536</v>
      </c>
      <c r="AZ906">
        <v>1200</v>
      </c>
      <c r="BA906">
        <v>1</v>
      </c>
      <c r="BB906" t="str">
        <f t="shared" si="45"/>
        <v xml:space="preserve">N690LS  </v>
      </c>
      <c r="BC906">
        <v>1</v>
      </c>
      <c r="BE906">
        <v>0</v>
      </c>
      <c r="BF906">
        <v>0</v>
      </c>
      <c r="BG906">
        <v>0</v>
      </c>
      <c r="BH906">
        <v>15475</v>
      </c>
      <c r="BI906">
        <v>1</v>
      </c>
      <c r="BJ906">
        <v>1</v>
      </c>
      <c r="BK906">
        <v>1</v>
      </c>
      <c r="BL906">
        <v>0</v>
      </c>
      <c r="BO906">
        <v>0</v>
      </c>
      <c r="BP906">
        <v>0</v>
      </c>
      <c r="BW906" t="str">
        <f>"13:58:01.262"</f>
        <v>13:58:01.262</v>
      </c>
      <c r="CJ906">
        <v>0</v>
      </c>
      <c r="CK906">
        <v>2</v>
      </c>
      <c r="CL906">
        <v>0</v>
      </c>
      <c r="CM906">
        <v>2</v>
      </c>
      <c r="CN906">
        <v>0</v>
      </c>
      <c r="CO906">
        <v>6</v>
      </c>
      <c r="CP906" t="s">
        <v>119</v>
      </c>
      <c r="CQ906">
        <v>209</v>
      </c>
      <c r="CR906">
        <v>3</v>
      </c>
      <c r="CW906">
        <v>7249766</v>
      </c>
      <c r="CY906">
        <v>1</v>
      </c>
      <c r="CZ906">
        <v>0</v>
      </c>
      <c r="DA906">
        <v>1</v>
      </c>
      <c r="DB906">
        <v>0</v>
      </c>
      <c r="DC906">
        <v>0</v>
      </c>
      <c r="DD906">
        <v>1</v>
      </c>
      <c r="DE906">
        <v>0</v>
      </c>
      <c r="DF906">
        <v>0</v>
      </c>
      <c r="DG906">
        <v>0</v>
      </c>
      <c r="DH906">
        <v>0</v>
      </c>
      <c r="DI906">
        <v>0</v>
      </c>
    </row>
    <row r="907" spans="1:113" x14ac:dyDescent="0.3">
      <c r="A907" t="str">
        <f>"09/28/2021 13:58:02.355"</f>
        <v>09/28/2021 13:58:02.355</v>
      </c>
      <c r="C907" t="str">
        <f t="shared" si="44"/>
        <v>FFDFD3C0</v>
      </c>
      <c r="D907" t="s">
        <v>113</v>
      </c>
      <c r="E907">
        <v>7</v>
      </c>
      <c r="H907">
        <v>170</v>
      </c>
      <c r="I907" t="s">
        <v>114</v>
      </c>
      <c r="J907" t="s">
        <v>115</v>
      </c>
      <c r="K907">
        <v>0</v>
      </c>
      <c r="L907">
        <v>3</v>
      </c>
      <c r="M907">
        <v>0</v>
      </c>
      <c r="N907">
        <v>2</v>
      </c>
      <c r="O907">
        <v>1</v>
      </c>
      <c r="P907">
        <v>0</v>
      </c>
      <c r="Q907">
        <v>0</v>
      </c>
      <c r="S907" t="str">
        <f>"13:58:02.188"</f>
        <v>13:58:02.188</v>
      </c>
      <c r="T907" t="str">
        <f>"13:58:01.788"</f>
        <v>13:58:01.788</v>
      </c>
      <c r="U907" t="str">
        <f t="shared" si="46"/>
        <v>A92BC1</v>
      </c>
      <c r="V907">
        <v>0</v>
      </c>
      <c r="W907">
        <v>0</v>
      </c>
      <c r="X907">
        <v>2</v>
      </c>
      <c r="Z907">
        <v>0</v>
      </c>
      <c r="AA907">
        <v>9</v>
      </c>
      <c r="AB907">
        <v>3</v>
      </c>
      <c r="AC907">
        <v>0</v>
      </c>
      <c r="AD907">
        <v>10</v>
      </c>
      <c r="AE907">
        <v>0</v>
      </c>
      <c r="AF907">
        <v>3</v>
      </c>
      <c r="AG907">
        <v>2</v>
      </c>
      <c r="AH907">
        <v>0</v>
      </c>
      <c r="AI907" t="s">
        <v>1008</v>
      </c>
      <c r="AJ907">
        <v>45.852212999999999</v>
      </c>
      <c r="AK907" t="s">
        <v>1009</v>
      </c>
      <c r="AL907">
        <v>-89.166111999999998</v>
      </c>
      <c r="AM907">
        <v>100</v>
      </c>
      <c r="AN907">
        <v>15000</v>
      </c>
      <c r="AO907" t="s">
        <v>118</v>
      </c>
      <c r="AP907">
        <v>143</v>
      </c>
      <c r="AQ907">
        <v>116</v>
      </c>
      <c r="AR907">
        <v>1408</v>
      </c>
      <c r="AZ907">
        <v>1200</v>
      </c>
      <c r="BA907">
        <v>1</v>
      </c>
      <c r="BB907" t="str">
        <f t="shared" si="45"/>
        <v xml:space="preserve">N690LS  </v>
      </c>
      <c r="BC907">
        <v>1</v>
      </c>
      <c r="BE907">
        <v>0</v>
      </c>
      <c r="BF907">
        <v>0</v>
      </c>
      <c r="BG907">
        <v>0</v>
      </c>
      <c r="BH907">
        <v>15500</v>
      </c>
      <c r="BI907">
        <v>1</v>
      </c>
      <c r="BJ907">
        <v>1</v>
      </c>
      <c r="BK907">
        <v>1</v>
      </c>
      <c r="BL907">
        <v>0</v>
      </c>
      <c r="BO907">
        <v>0</v>
      </c>
      <c r="BP907">
        <v>0</v>
      </c>
      <c r="BW907" t="str">
        <f>"13:58:02.191"</f>
        <v>13:58:02.191</v>
      </c>
      <c r="CJ907">
        <v>0</v>
      </c>
      <c r="CK907">
        <v>2</v>
      </c>
      <c r="CL907">
        <v>0</v>
      </c>
      <c r="CM907">
        <v>2</v>
      </c>
      <c r="CN907">
        <v>0</v>
      </c>
      <c r="CO907">
        <v>6</v>
      </c>
      <c r="CP907" t="s">
        <v>119</v>
      </c>
      <c r="CQ907">
        <v>209</v>
      </c>
      <c r="CR907">
        <v>3</v>
      </c>
      <c r="CW907">
        <v>7250011</v>
      </c>
      <c r="CY907">
        <v>1</v>
      </c>
      <c r="CZ907">
        <v>0</v>
      </c>
      <c r="DA907">
        <v>0</v>
      </c>
      <c r="DB907">
        <v>0</v>
      </c>
      <c r="DC907">
        <v>0</v>
      </c>
      <c r="DD907">
        <v>1</v>
      </c>
      <c r="DE907">
        <v>0</v>
      </c>
      <c r="DF907">
        <v>0</v>
      </c>
      <c r="DG907">
        <v>0</v>
      </c>
      <c r="DH907">
        <v>0</v>
      </c>
      <c r="DI907">
        <v>0</v>
      </c>
    </row>
    <row r="908" spans="1:113" x14ac:dyDescent="0.3">
      <c r="A908" t="str">
        <f>"09/28/2021 13:58:02.417"</f>
        <v>09/28/2021 13:58:02.417</v>
      </c>
      <c r="C908" t="str">
        <f t="shared" si="44"/>
        <v>FFDFD3C0</v>
      </c>
      <c r="D908" t="s">
        <v>120</v>
      </c>
      <c r="E908">
        <v>12</v>
      </c>
      <c r="F908">
        <v>1012</v>
      </c>
      <c r="G908" t="s">
        <v>114</v>
      </c>
      <c r="J908" t="s">
        <v>121</v>
      </c>
      <c r="K908">
        <v>0</v>
      </c>
      <c r="L908">
        <v>3</v>
      </c>
      <c r="M908">
        <v>0</v>
      </c>
      <c r="N908">
        <v>2</v>
      </c>
      <c r="O908">
        <v>1</v>
      </c>
      <c r="P908">
        <v>0</v>
      </c>
      <c r="Q908">
        <v>0</v>
      </c>
      <c r="S908" t="str">
        <f>"13:58:02.188"</f>
        <v>13:58:02.188</v>
      </c>
      <c r="T908" t="str">
        <f>"13:58:01.788"</f>
        <v>13:58:01.788</v>
      </c>
      <c r="U908" t="str">
        <f t="shared" si="46"/>
        <v>A92BC1</v>
      </c>
      <c r="V908">
        <v>0</v>
      </c>
      <c r="W908">
        <v>0</v>
      </c>
      <c r="X908">
        <v>2</v>
      </c>
      <c r="Z908">
        <v>0</v>
      </c>
      <c r="AA908">
        <v>9</v>
      </c>
      <c r="AB908">
        <v>3</v>
      </c>
      <c r="AC908">
        <v>0</v>
      </c>
      <c r="AD908">
        <v>10</v>
      </c>
      <c r="AE908">
        <v>0</v>
      </c>
      <c r="AF908">
        <v>3</v>
      </c>
      <c r="AG908">
        <v>2</v>
      </c>
      <c r="AH908">
        <v>0</v>
      </c>
      <c r="AI908" t="s">
        <v>1008</v>
      </c>
      <c r="AJ908">
        <v>45.852212999999999</v>
      </c>
      <c r="AK908" t="s">
        <v>1009</v>
      </c>
      <c r="AL908">
        <v>-89.166111999999998</v>
      </c>
      <c r="AM908">
        <v>100</v>
      </c>
      <c r="AN908">
        <v>15000</v>
      </c>
      <c r="AO908" t="s">
        <v>118</v>
      </c>
      <c r="AP908">
        <v>143</v>
      </c>
      <c r="AQ908">
        <v>116</v>
      </c>
      <c r="AR908">
        <v>1408</v>
      </c>
      <c r="AZ908">
        <v>1200</v>
      </c>
      <c r="BA908">
        <v>1</v>
      </c>
      <c r="BB908" t="str">
        <f t="shared" si="45"/>
        <v xml:space="preserve">N690LS  </v>
      </c>
      <c r="BC908">
        <v>1</v>
      </c>
      <c r="BE908">
        <v>0</v>
      </c>
      <c r="BF908">
        <v>0</v>
      </c>
      <c r="BG908">
        <v>0</v>
      </c>
      <c r="BH908">
        <v>15500</v>
      </c>
      <c r="BI908">
        <v>1</v>
      </c>
      <c r="BJ908">
        <v>1</v>
      </c>
      <c r="BK908">
        <v>1</v>
      </c>
      <c r="BL908">
        <v>0</v>
      </c>
      <c r="BO908">
        <v>0</v>
      </c>
      <c r="BP908">
        <v>0</v>
      </c>
      <c r="BW908" t="str">
        <f>"13:58:02.191"</f>
        <v>13:58:02.191</v>
      </c>
      <c r="CJ908">
        <v>0</v>
      </c>
      <c r="CK908">
        <v>2</v>
      </c>
      <c r="CL908">
        <v>0</v>
      </c>
      <c r="CM908">
        <v>2</v>
      </c>
      <c r="CN908">
        <v>0</v>
      </c>
      <c r="CO908">
        <v>6</v>
      </c>
      <c r="CP908" t="s">
        <v>119</v>
      </c>
      <c r="CQ908">
        <v>209</v>
      </c>
      <c r="CR908">
        <v>3</v>
      </c>
      <c r="CW908">
        <v>7250011</v>
      </c>
      <c r="CY908">
        <v>1</v>
      </c>
      <c r="CZ908">
        <v>0</v>
      </c>
      <c r="DA908">
        <v>1</v>
      </c>
      <c r="DB908">
        <v>0</v>
      </c>
      <c r="DC908">
        <v>0</v>
      </c>
      <c r="DD908">
        <v>1</v>
      </c>
      <c r="DE908">
        <v>0</v>
      </c>
      <c r="DF908">
        <v>0</v>
      </c>
      <c r="DG908">
        <v>0</v>
      </c>
      <c r="DH908">
        <v>0</v>
      </c>
      <c r="DI908">
        <v>0</v>
      </c>
    </row>
    <row r="909" spans="1:113" x14ac:dyDescent="0.3">
      <c r="A909" t="str">
        <f>"09/28/2021 13:58:03.448"</f>
        <v>09/28/2021 13:58:03.448</v>
      </c>
      <c r="C909" t="str">
        <f t="shared" si="44"/>
        <v>FFDFD3C0</v>
      </c>
      <c r="D909" t="s">
        <v>120</v>
      </c>
      <c r="E909">
        <v>12</v>
      </c>
      <c r="F909">
        <v>1012</v>
      </c>
      <c r="G909" t="s">
        <v>114</v>
      </c>
      <c r="J909" t="s">
        <v>121</v>
      </c>
      <c r="K909">
        <v>0</v>
      </c>
      <c r="L909">
        <v>3</v>
      </c>
      <c r="M909">
        <v>0</v>
      </c>
      <c r="N909">
        <v>2</v>
      </c>
      <c r="O909">
        <v>1</v>
      </c>
      <c r="P909">
        <v>0</v>
      </c>
      <c r="Q909">
        <v>0</v>
      </c>
      <c r="S909" t="str">
        <f>"13:58:03.242"</f>
        <v>13:58:03.242</v>
      </c>
      <c r="T909" t="str">
        <f>"13:58:02.742"</f>
        <v>13:58:02.742</v>
      </c>
      <c r="U909" t="str">
        <f t="shared" si="46"/>
        <v>A92BC1</v>
      </c>
      <c r="V909">
        <v>0</v>
      </c>
      <c r="W909">
        <v>0</v>
      </c>
      <c r="X909">
        <v>2</v>
      </c>
      <c r="Z909">
        <v>0</v>
      </c>
      <c r="AA909">
        <v>9</v>
      </c>
      <c r="AB909">
        <v>3</v>
      </c>
      <c r="AC909">
        <v>0</v>
      </c>
      <c r="AD909">
        <v>10</v>
      </c>
      <c r="AE909">
        <v>0</v>
      </c>
      <c r="AF909">
        <v>3</v>
      </c>
      <c r="AG909">
        <v>2</v>
      </c>
      <c r="AH909">
        <v>0</v>
      </c>
      <c r="AI909" t="s">
        <v>1010</v>
      </c>
      <c r="AJ909">
        <v>45.852834999999999</v>
      </c>
      <c r="AK909" t="s">
        <v>1011</v>
      </c>
      <c r="AL909">
        <v>-89.165103000000002</v>
      </c>
      <c r="AM909">
        <v>100</v>
      </c>
      <c r="AN909">
        <v>15000</v>
      </c>
      <c r="AO909" t="s">
        <v>118</v>
      </c>
      <c r="AP909">
        <v>143</v>
      </c>
      <c r="AQ909">
        <v>116</v>
      </c>
      <c r="AR909">
        <v>1344</v>
      </c>
      <c r="AZ909">
        <v>1200</v>
      </c>
      <c r="BA909">
        <v>1</v>
      </c>
      <c r="BB909" t="str">
        <f t="shared" si="45"/>
        <v xml:space="preserve">N690LS  </v>
      </c>
      <c r="BC909">
        <v>1</v>
      </c>
      <c r="BE909">
        <v>0</v>
      </c>
      <c r="BF909">
        <v>0</v>
      </c>
      <c r="BG909">
        <v>0</v>
      </c>
      <c r="BH909">
        <v>15525</v>
      </c>
      <c r="BI909">
        <v>1</v>
      </c>
      <c r="BJ909">
        <v>1</v>
      </c>
      <c r="BK909">
        <v>1</v>
      </c>
      <c r="BL909">
        <v>0</v>
      </c>
      <c r="BO909">
        <v>0</v>
      </c>
      <c r="BP909">
        <v>0</v>
      </c>
      <c r="BW909" t="str">
        <f>"13:58:03.242"</f>
        <v>13:58:03.242</v>
      </c>
      <c r="CJ909">
        <v>0</v>
      </c>
      <c r="CK909">
        <v>2</v>
      </c>
      <c r="CL909">
        <v>0</v>
      </c>
      <c r="CM909">
        <v>2</v>
      </c>
      <c r="CN909">
        <v>0</v>
      </c>
      <c r="CO909">
        <v>7</v>
      </c>
      <c r="CP909" t="s">
        <v>119</v>
      </c>
      <c r="CQ909">
        <v>197</v>
      </c>
      <c r="CR909">
        <v>1</v>
      </c>
      <c r="CW909">
        <v>7464511</v>
      </c>
      <c r="CY909">
        <v>1</v>
      </c>
      <c r="CZ909">
        <v>0</v>
      </c>
      <c r="DA909">
        <v>0</v>
      </c>
      <c r="DB909">
        <v>0</v>
      </c>
      <c r="DC909">
        <v>0</v>
      </c>
      <c r="DD909">
        <v>1</v>
      </c>
      <c r="DE909">
        <v>0</v>
      </c>
      <c r="DF909">
        <v>0</v>
      </c>
      <c r="DG909">
        <v>0</v>
      </c>
      <c r="DH909">
        <v>0</v>
      </c>
      <c r="DI909">
        <v>0</v>
      </c>
    </row>
    <row r="910" spans="1:113" x14ac:dyDescent="0.3">
      <c r="A910" t="str">
        <f>"09/28/2021 13:58:03.480"</f>
        <v>09/28/2021 13:58:03.480</v>
      </c>
      <c r="C910" t="str">
        <f t="shared" si="44"/>
        <v>FFDFD3C0</v>
      </c>
      <c r="D910" t="s">
        <v>113</v>
      </c>
      <c r="E910">
        <v>7</v>
      </c>
      <c r="H910">
        <v>170</v>
      </c>
      <c r="I910" t="s">
        <v>114</v>
      </c>
      <c r="J910" t="s">
        <v>115</v>
      </c>
      <c r="K910">
        <v>0</v>
      </c>
      <c r="L910">
        <v>3</v>
      </c>
      <c r="M910">
        <v>0</v>
      </c>
      <c r="N910">
        <v>2</v>
      </c>
      <c r="O910">
        <v>1</v>
      </c>
      <c r="P910">
        <v>0</v>
      </c>
      <c r="Q910">
        <v>0</v>
      </c>
      <c r="S910" t="str">
        <f>"13:58:03.242"</f>
        <v>13:58:03.242</v>
      </c>
      <c r="T910" t="str">
        <f>"13:58:02.742"</f>
        <v>13:58:02.742</v>
      </c>
      <c r="U910" t="str">
        <f t="shared" si="46"/>
        <v>A92BC1</v>
      </c>
      <c r="V910">
        <v>0</v>
      </c>
      <c r="W910">
        <v>0</v>
      </c>
      <c r="X910">
        <v>2</v>
      </c>
      <c r="Z910">
        <v>0</v>
      </c>
      <c r="AA910">
        <v>9</v>
      </c>
      <c r="AB910">
        <v>3</v>
      </c>
      <c r="AC910">
        <v>0</v>
      </c>
      <c r="AD910">
        <v>10</v>
      </c>
      <c r="AE910">
        <v>0</v>
      </c>
      <c r="AF910">
        <v>3</v>
      </c>
      <c r="AG910">
        <v>2</v>
      </c>
      <c r="AH910">
        <v>0</v>
      </c>
      <c r="AI910" t="s">
        <v>1010</v>
      </c>
      <c r="AJ910">
        <v>45.852834999999999</v>
      </c>
      <c r="AK910" t="s">
        <v>1011</v>
      </c>
      <c r="AL910">
        <v>-89.165103000000002</v>
      </c>
      <c r="AM910">
        <v>100</v>
      </c>
      <c r="AN910">
        <v>15000</v>
      </c>
      <c r="AO910" t="s">
        <v>118</v>
      </c>
      <c r="AP910">
        <v>143</v>
      </c>
      <c r="AQ910">
        <v>116</v>
      </c>
      <c r="AR910">
        <v>1344</v>
      </c>
      <c r="AZ910">
        <v>1200</v>
      </c>
      <c r="BA910">
        <v>1</v>
      </c>
      <c r="BB910" t="str">
        <f t="shared" si="45"/>
        <v xml:space="preserve">N690LS  </v>
      </c>
      <c r="BC910">
        <v>1</v>
      </c>
      <c r="BE910">
        <v>0</v>
      </c>
      <c r="BF910">
        <v>0</v>
      </c>
      <c r="BG910">
        <v>0</v>
      </c>
      <c r="BH910">
        <v>15525</v>
      </c>
      <c r="BI910">
        <v>1</v>
      </c>
      <c r="BJ910">
        <v>1</v>
      </c>
      <c r="BK910">
        <v>1</v>
      </c>
      <c r="BL910">
        <v>0</v>
      </c>
      <c r="BO910">
        <v>0</v>
      </c>
      <c r="BP910">
        <v>0</v>
      </c>
      <c r="BW910" t="str">
        <f>"13:58:03.242"</f>
        <v>13:58:03.242</v>
      </c>
      <c r="CJ910">
        <v>0</v>
      </c>
      <c r="CK910">
        <v>2</v>
      </c>
      <c r="CL910">
        <v>0</v>
      </c>
      <c r="CM910">
        <v>2</v>
      </c>
      <c r="CN910">
        <v>0</v>
      </c>
      <c r="CO910">
        <v>7</v>
      </c>
      <c r="CP910" t="s">
        <v>119</v>
      </c>
      <c r="CQ910">
        <v>197</v>
      </c>
      <c r="CR910">
        <v>1</v>
      </c>
      <c r="CW910">
        <v>7464511</v>
      </c>
      <c r="CY910">
        <v>1</v>
      </c>
      <c r="CZ910">
        <v>0</v>
      </c>
      <c r="DA910">
        <v>1</v>
      </c>
      <c r="DB910">
        <v>0</v>
      </c>
      <c r="DC910">
        <v>0</v>
      </c>
      <c r="DD910">
        <v>1</v>
      </c>
      <c r="DE910">
        <v>0</v>
      </c>
      <c r="DF910">
        <v>0</v>
      </c>
      <c r="DG910">
        <v>0</v>
      </c>
      <c r="DH910">
        <v>0</v>
      </c>
      <c r="DI910">
        <v>0</v>
      </c>
    </row>
    <row r="911" spans="1:113" x14ac:dyDescent="0.3">
      <c r="A911" t="str">
        <f>"09/28/2021 13:58:04.418"</f>
        <v>09/28/2021 13:58:04.418</v>
      </c>
      <c r="C911" t="str">
        <f t="shared" si="44"/>
        <v>FFDFD3C0</v>
      </c>
      <c r="D911" t="s">
        <v>113</v>
      </c>
      <c r="E911">
        <v>7</v>
      </c>
      <c r="H911">
        <v>170</v>
      </c>
      <c r="I911" t="s">
        <v>114</v>
      </c>
      <c r="J911" t="s">
        <v>115</v>
      </c>
      <c r="K911">
        <v>0</v>
      </c>
      <c r="L911">
        <v>3</v>
      </c>
      <c r="M911">
        <v>0</v>
      </c>
      <c r="N911">
        <v>2</v>
      </c>
      <c r="O911">
        <v>1</v>
      </c>
      <c r="P911">
        <v>0</v>
      </c>
      <c r="Q911">
        <v>0</v>
      </c>
      <c r="S911" t="str">
        <f>"13:58:04.234"</f>
        <v>13:58:04.234</v>
      </c>
      <c r="T911" t="str">
        <f>"13:58:03.734"</f>
        <v>13:58:03.734</v>
      </c>
      <c r="U911" t="str">
        <f t="shared" si="46"/>
        <v>A92BC1</v>
      </c>
      <c r="V911">
        <v>0</v>
      </c>
      <c r="W911">
        <v>0</v>
      </c>
      <c r="X911">
        <v>2</v>
      </c>
      <c r="Z911">
        <v>0</v>
      </c>
      <c r="AA911">
        <v>9</v>
      </c>
      <c r="AB911">
        <v>3</v>
      </c>
      <c r="AC911">
        <v>0</v>
      </c>
      <c r="AD911">
        <v>10</v>
      </c>
      <c r="AE911">
        <v>0</v>
      </c>
      <c r="AF911">
        <v>3</v>
      </c>
      <c r="AG911">
        <v>2</v>
      </c>
      <c r="AH911">
        <v>0</v>
      </c>
      <c r="AI911" t="s">
        <v>1012</v>
      </c>
      <c r="AJ911">
        <v>45.853349999999999</v>
      </c>
      <c r="AK911" t="s">
        <v>1013</v>
      </c>
      <c r="AL911">
        <v>-89.164137999999994</v>
      </c>
      <c r="AM911">
        <v>100</v>
      </c>
      <c r="AN911">
        <v>15000</v>
      </c>
      <c r="AO911" t="s">
        <v>118</v>
      </c>
      <c r="AP911">
        <v>143</v>
      </c>
      <c r="AQ911">
        <v>116</v>
      </c>
      <c r="AR911">
        <v>1216</v>
      </c>
      <c r="AZ911">
        <v>1200</v>
      </c>
      <c r="BA911">
        <v>1</v>
      </c>
      <c r="BB911" t="str">
        <f t="shared" si="45"/>
        <v xml:space="preserve">N690LS  </v>
      </c>
      <c r="BC911">
        <v>1</v>
      </c>
      <c r="BE911">
        <v>0</v>
      </c>
      <c r="BF911">
        <v>0</v>
      </c>
      <c r="BG911">
        <v>0</v>
      </c>
      <c r="BH911">
        <v>15550</v>
      </c>
      <c r="BI911">
        <v>1</v>
      </c>
      <c r="BJ911">
        <v>1</v>
      </c>
      <c r="BK911">
        <v>1</v>
      </c>
      <c r="BL911">
        <v>0</v>
      </c>
      <c r="BO911">
        <v>0</v>
      </c>
      <c r="BP911">
        <v>0</v>
      </c>
      <c r="BW911" t="str">
        <f>"13:58:04.240"</f>
        <v>13:58:04.240</v>
      </c>
      <c r="CJ911">
        <v>0</v>
      </c>
      <c r="CK911">
        <v>2</v>
      </c>
      <c r="CL911">
        <v>0</v>
      </c>
      <c r="CM911">
        <v>2</v>
      </c>
      <c r="CN911">
        <v>0</v>
      </c>
      <c r="CO911">
        <v>6</v>
      </c>
      <c r="CP911" t="s">
        <v>119</v>
      </c>
      <c r="CQ911">
        <v>209</v>
      </c>
      <c r="CR911">
        <v>3</v>
      </c>
      <c r="CW911">
        <v>7250659</v>
      </c>
      <c r="CY911">
        <v>1</v>
      </c>
      <c r="CZ911">
        <v>0</v>
      </c>
      <c r="DA911">
        <v>0</v>
      </c>
      <c r="DB911">
        <v>0</v>
      </c>
      <c r="DC911">
        <v>0</v>
      </c>
      <c r="DD911">
        <v>1</v>
      </c>
      <c r="DE911">
        <v>0</v>
      </c>
      <c r="DF911">
        <v>0</v>
      </c>
      <c r="DG911">
        <v>0</v>
      </c>
      <c r="DH911">
        <v>0</v>
      </c>
      <c r="DI911">
        <v>0</v>
      </c>
    </row>
    <row r="912" spans="1:113" x14ac:dyDescent="0.3">
      <c r="A912" t="str">
        <f>"09/28/2021 13:58:04.481"</f>
        <v>09/28/2021 13:58:04.481</v>
      </c>
      <c r="C912" t="str">
        <f t="shared" si="44"/>
        <v>FFDFD3C0</v>
      </c>
      <c r="D912" t="s">
        <v>120</v>
      </c>
      <c r="E912">
        <v>12</v>
      </c>
      <c r="F912">
        <v>1012</v>
      </c>
      <c r="G912" t="s">
        <v>114</v>
      </c>
      <c r="J912" t="s">
        <v>121</v>
      </c>
      <c r="K912">
        <v>0</v>
      </c>
      <c r="L912">
        <v>3</v>
      </c>
      <c r="M912">
        <v>0</v>
      </c>
      <c r="N912">
        <v>2</v>
      </c>
      <c r="O912">
        <v>1</v>
      </c>
      <c r="P912">
        <v>0</v>
      </c>
      <c r="Q912">
        <v>0</v>
      </c>
      <c r="S912" t="str">
        <f>"13:58:04.234"</f>
        <v>13:58:04.234</v>
      </c>
      <c r="T912" t="str">
        <f>"13:58:03.734"</f>
        <v>13:58:03.734</v>
      </c>
      <c r="U912" t="str">
        <f t="shared" si="46"/>
        <v>A92BC1</v>
      </c>
      <c r="V912">
        <v>0</v>
      </c>
      <c r="W912">
        <v>0</v>
      </c>
      <c r="X912">
        <v>2</v>
      </c>
      <c r="Z912">
        <v>0</v>
      </c>
      <c r="AA912">
        <v>9</v>
      </c>
      <c r="AB912">
        <v>3</v>
      </c>
      <c r="AC912">
        <v>0</v>
      </c>
      <c r="AD912">
        <v>10</v>
      </c>
      <c r="AE912">
        <v>0</v>
      </c>
      <c r="AF912">
        <v>3</v>
      </c>
      <c r="AG912">
        <v>2</v>
      </c>
      <c r="AH912">
        <v>0</v>
      </c>
      <c r="AI912" t="s">
        <v>1012</v>
      </c>
      <c r="AJ912">
        <v>45.853349999999999</v>
      </c>
      <c r="AK912" t="s">
        <v>1013</v>
      </c>
      <c r="AL912">
        <v>-89.164137999999994</v>
      </c>
      <c r="AM912">
        <v>100</v>
      </c>
      <c r="AN912">
        <v>15000</v>
      </c>
      <c r="AO912" t="s">
        <v>118</v>
      </c>
      <c r="AP912">
        <v>143</v>
      </c>
      <c r="AQ912">
        <v>116</v>
      </c>
      <c r="AR912">
        <v>1216</v>
      </c>
      <c r="AZ912">
        <v>1200</v>
      </c>
      <c r="BA912">
        <v>1</v>
      </c>
      <c r="BB912" t="str">
        <f t="shared" si="45"/>
        <v xml:space="preserve">N690LS  </v>
      </c>
      <c r="BC912">
        <v>1</v>
      </c>
      <c r="BE912">
        <v>0</v>
      </c>
      <c r="BF912">
        <v>0</v>
      </c>
      <c r="BG912">
        <v>0</v>
      </c>
      <c r="BH912">
        <v>15550</v>
      </c>
      <c r="BI912">
        <v>1</v>
      </c>
      <c r="BJ912">
        <v>1</v>
      </c>
      <c r="BK912">
        <v>1</v>
      </c>
      <c r="BL912">
        <v>0</v>
      </c>
      <c r="BO912">
        <v>0</v>
      </c>
      <c r="BP912">
        <v>0</v>
      </c>
      <c r="BW912" t="str">
        <f>"13:58:04.240"</f>
        <v>13:58:04.240</v>
      </c>
      <c r="CJ912">
        <v>0</v>
      </c>
      <c r="CK912">
        <v>2</v>
      </c>
      <c r="CL912">
        <v>0</v>
      </c>
      <c r="CM912">
        <v>2</v>
      </c>
      <c r="CN912">
        <v>0</v>
      </c>
      <c r="CO912">
        <v>6</v>
      </c>
      <c r="CP912" t="s">
        <v>119</v>
      </c>
      <c r="CQ912">
        <v>209</v>
      </c>
      <c r="CR912">
        <v>3</v>
      </c>
      <c r="CW912">
        <v>7250659</v>
      </c>
      <c r="CY912">
        <v>1</v>
      </c>
      <c r="CZ912">
        <v>0</v>
      </c>
      <c r="DA912">
        <v>1</v>
      </c>
      <c r="DB912">
        <v>0</v>
      </c>
      <c r="DC912">
        <v>0</v>
      </c>
      <c r="DD912">
        <v>1</v>
      </c>
      <c r="DE912">
        <v>0</v>
      </c>
      <c r="DF912">
        <v>0</v>
      </c>
      <c r="DG912">
        <v>0</v>
      </c>
      <c r="DH912">
        <v>0</v>
      </c>
      <c r="DI912">
        <v>0</v>
      </c>
    </row>
    <row r="913" spans="1:113" x14ac:dyDescent="0.3">
      <c r="A913" t="str">
        <f>"09/28/2021 13:58:05.387"</f>
        <v>09/28/2021 13:58:05.387</v>
      </c>
      <c r="C913" t="str">
        <f t="shared" si="44"/>
        <v>FFDFD3C0</v>
      </c>
      <c r="D913" t="s">
        <v>113</v>
      </c>
      <c r="E913">
        <v>7</v>
      </c>
      <c r="H913">
        <v>170</v>
      </c>
      <c r="I913" t="s">
        <v>114</v>
      </c>
      <c r="J913" t="s">
        <v>115</v>
      </c>
      <c r="K913">
        <v>0</v>
      </c>
      <c r="L913">
        <v>3</v>
      </c>
      <c r="M913">
        <v>0</v>
      </c>
      <c r="N913">
        <v>2</v>
      </c>
      <c r="O913">
        <v>1</v>
      </c>
      <c r="P913">
        <v>0</v>
      </c>
      <c r="Q913">
        <v>0</v>
      </c>
      <c r="S913" t="str">
        <f>"13:58:05.125"</f>
        <v>13:58:05.125</v>
      </c>
      <c r="T913" t="str">
        <f>"13:58:04.725"</f>
        <v>13:58:04.725</v>
      </c>
      <c r="U913" t="str">
        <f t="shared" si="46"/>
        <v>A92BC1</v>
      </c>
      <c r="V913">
        <v>0</v>
      </c>
      <c r="W913">
        <v>0</v>
      </c>
      <c r="X913">
        <v>2</v>
      </c>
      <c r="Z913">
        <v>0</v>
      </c>
      <c r="AA913">
        <v>9</v>
      </c>
      <c r="AB913">
        <v>3</v>
      </c>
      <c r="AC913">
        <v>0</v>
      </c>
      <c r="AD913">
        <v>10</v>
      </c>
      <c r="AE913">
        <v>0</v>
      </c>
      <c r="AF913">
        <v>3</v>
      </c>
      <c r="AG913">
        <v>2</v>
      </c>
      <c r="AH913">
        <v>0</v>
      </c>
      <c r="AI913" t="s">
        <v>1014</v>
      </c>
      <c r="AJ913">
        <v>45.853822000000001</v>
      </c>
      <c r="AK913" t="s">
        <v>1015</v>
      </c>
      <c r="AL913">
        <v>-89.163301000000004</v>
      </c>
      <c r="AM913">
        <v>100</v>
      </c>
      <c r="AN913">
        <v>15000</v>
      </c>
      <c r="AO913" t="s">
        <v>118</v>
      </c>
      <c r="AP913">
        <v>143</v>
      </c>
      <c r="AQ913">
        <v>116</v>
      </c>
      <c r="AR913">
        <v>1088</v>
      </c>
      <c r="AZ913">
        <v>1200</v>
      </c>
      <c r="BA913">
        <v>1</v>
      </c>
      <c r="BB913" t="str">
        <f t="shared" si="45"/>
        <v xml:space="preserve">N690LS  </v>
      </c>
      <c r="BC913">
        <v>1</v>
      </c>
      <c r="BE913">
        <v>0</v>
      </c>
      <c r="BF913">
        <v>0</v>
      </c>
      <c r="BG913">
        <v>0</v>
      </c>
      <c r="BH913">
        <v>15550</v>
      </c>
      <c r="BI913">
        <v>1</v>
      </c>
      <c r="BJ913">
        <v>1</v>
      </c>
      <c r="BK913">
        <v>1</v>
      </c>
      <c r="BL913">
        <v>0</v>
      </c>
      <c r="BO913">
        <v>0</v>
      </c>
      <c r="BP913">
        <v>0</v>
      </c>
      <c r="BW913" t="str">
        <f>"13:58:05.128"</f>
        <v>13:58:05.128</v>
      </c>
      <c r="CJ913">
        <v>0</v>
      </c>
      <c r="CK913">
        <v>2</v>
      </c>
      <c r="CL913">
        <v>0</v>
      </c>
      <c r="CM913">
        <v>2</v>
      </c>
      <c r="CN913">
        <v>0</v>
      </c>
      <c r="CO913">
        <v>6</v>
      </c>
      <c r="CP913" t="s">
        <v>119</v>
      </c>
      <c r="CQ913">
        <v>209</v>
      </c>
      <c r="CR913">
        <v>2</v>
      </c>
      <c r="CW913">
        <v>11831451</v>
      </c>
      <c r="CY913">
        <v>1</v>
      </c>
      <c r="CZ913">
        <v>0</v>
      </c>
      <c r="DA913">
        <v>0</v>
      </c>
      <c r="DB913">
        <v>0</v>
      </c>
      <c r="DC913">
        <v>0</v>
      </c>
      <c r="DD913">
        <v>1</v>
      </c>
      <c r="DE913">
        <v>0</v>
      </c>
      <c r="DF913">
        <v>0</v>
      </c>
      <c r="DG913">
        <v>0</v>
      </c>
      <c r="DH913">
        <v>0</v>
      </c>
      <c r="DI913">
        <v>0</v>
      </c>
    </row>
    <row r="914" spans="1:113" x14ac:dyDescent="0.3">
      <c r="A914" t="str">
        <f>"09/28/2021 13:58:05.387"</f>
        <v>09/28/2021 13:58:05.387</v>
      </c>
      <c r="C914" t="str">
        <f t="shared" si="44"/>
        <v>FFDFD3C0</v>
      </c>
      <c r="D914" t="s">
        <v>120</v>
      </c>
      <c r="E914">
        <v>12</v>
      </c>
      <c r="F914">
        <v>1012</v>
      </c>
      <c r="G914" t="s">
        <v>114</v>
      </c>
      <c r="J914" t="s">
        <v>121</v>
      </c>
      <c r="K914">
        <v>0</v>
      </c>
      <c r="L914">
        <v>3</v>
      </c>
      <c r="M914">
        <v>0</v>
      </c>
      <c r="N914">
        <v>2</v>
      </c>
      <c r="O914">
        <v>1</v>
      </c>
      <c r="P914">
        <v>0</v>
      </c>
      <c r="Q914">
        <v>0</v>
      </c>
      <c r="S914" t="str">
        <f>"13:58:05.125"</f>
        <v>13:58:05.125</v>
      </c>
      <c r="T914" t="str">
        <f>"13:58:04.725"</f>
        <v>13:58:04.725</v>
      </c>
      <c r="U914" t="str">
        <f t="shared" si="46"/>
        <v>A92BC1</v>
      </c>
      <c r="V914">
        <v>0</v>
      </c>
      <c r="W914">
        <v>0</v>
      </c>
      <c r="X914">
        <v>2</v>
      </c>
      <c r="Z914">
        <v>0</v>
      </c>
      <c r="AA914">
        <v>9</v>
      </c>
      <c r="AB914">
        <v>3</v>
      </c>
      <c r="AC914">
        <v>0</v>
      </c>
      <c r="AD914">
        <v>10</v>
      </c>
      <c r="AE914">
        <v>0</v>
      </c>
      <c r="AF914">
        <v>3</v>
      </c>
      <c r="AG914">
        <v>2</v>
      </c>
      <c r="AH914">
        <v>0</v>
      </c>
      <c r="AI914" t="s">
        <v>1014</v>
      </c>
      <c r="AJ914">
        <v>45.853822000000001</v>
      </c>
      <c r="AK914" t="s">
        <v>1015</v>
      </c>
      <c r="AL914">
        <v>-89.163301000000004</v>
      </c>
      <c r="AM914">
        <v>100</v>
      </c>
      <c r="AN914">
        <v>15000</v>
      </c>
      <c r="AO914" t="s">
        <v>118</v>
      </c>
      <c r="AP914">
        <v>143</v>
      </c>
      <c r="AQ914">
        <v>116</v>
      </c>
      <c r="AR914">
        <v>1088</v>
      </c>
      <c r="AZ914">
        <v>1200</v>
      </c>
      <c r="BA914">
        <v>1</v>
      </c>
      <c r="BB914" t="str">
        <f t="shared" si="45"/>
        <v xml:space="preserve">N690LS  </v>
      </c>
      <c r="BC914">
        <v>1</v>
      </c>
      <c r="BE914">
        <v>0</v>
      </c>
      <c r="BF914">
        <v>0</v>
      </c>
      <c r="BG914">
        <v>0</v>
      </c>
      <c r="BH914">
        <v>15550</v>
      </c>
      <c r="BI914">
        <v>1</v>
      </c>
      <c r="BJ914">
        <v>1</v>
      </c>
      <c r="BK914">
        <v>1</v>
      </c>
      <c r="BL914">
        <v>0</v>
      </c>
      <c r="BO914">
        <v>0</v>
      </c>
      <c r="BP914">
        <v>0</v>
      </c>
      <c r="BW914" t="str">
        <f>"13:58:05.128"</f>
        <v>13:58:05.128</v>
      </c>
      <c r="CJ914">
        <v>0</v>
      </c>
      <c r="CK914">
        <v>2</v>
      </c>
      <c r="CL914">
        <v>0</v>
      </c>
      <c r="CM914">
        <v>2</v>
      </c>
      <c r="CN914">
        <v>0</v>
      </c>
      <c r="CO914">
        <v>6</v>
      </c>
      <c r="CP914" t="s">
        <v>119</v>
      </c>
      <c r="CQ914">
        <v>209</v>
      </c>
      <c r="CR914">
        <v>2</v>
      </c>
      <c r="CW914">
        <v>11831451</v>
      </c>
      <c r="CY914">
        <v>1</v>
      </c>
      <c r="CZ914">
        <v>0</v>
      </c>
      <c r="DA914">
        <v>1</v>
      </c>
      <c r="DB914">
        <v>0</v>
      </c>
      <c r="DC914">
        <v>0</v>
      </c>
      <c r="DD914">
        <v>1</v>
      </c>
      <c r="DE914">
        <v>0</v>
      </c>
      <c r="DF914">
        <v>0</v>
      </c>
      <c r="DG914">
        <v>0</v>
      </c>
      <c r="DH914">
        <v>0</v>
      </c>
      <c r="DI914">
        <v>0</v>
      </c>
    </row>
    <row r="915" spans="1:113" x14ac:dyDescent="0.3">
      <c r="A915" t="str">
        <f>"09/28/2021 13:58:06.403"</f>
        <v>09/28/2021 13:58:06.403</v>
      </c>
      <c r="C915" t="str">
        <f t="shared" si="44"/>
        <v>FFDFD3C0</v>
      </c>
      <c r="D915" t="s">
        <v>113</v>
      </c>
      <c r="E915">
        <v>7</v>
      </c>
      <c r="H915">
        <v>170</v>
      </c>
      <c r="I915" t="s">
        <v>114</v>
      </c>
      <c r="J915" t="s">
        <v>115</v>
      </c>
      <c r="K915">
        <v>0</v>
      </c>
      <c r="L915">
        <v>3</v>
      </c>
      <c r="M915">
        <v>0</v>
      </c>
      <c r="N915">
        <v>2</v>
      </c>
      <c r="O915">
        <v>1</v>
      </c>
      <c r="P915">
        <v>0</v>
      </c>
      <c r="Q915">
        <v>0</v>
      </c>
      <c r="S915" t="str">
        <f>"13:58:06.211"</f>
        <v>13:58:06.211</v>
      </c>
      <c r="T915" t="str">
        <f>"13:58:05.711"</f>
        <v>13:58:05.711</v>
      </c>
      <c r="U915" t="str">
        <f t="shared" si="46"/>
        <v>A92BC1</v>
      </c>
      <c r="V915">
        <v>0</v>
      </c>
      <c r="W915">
        <v>0</v>
      </c>
      <c r="X915">
        <v>2</v>
      </c>
      <c r="Z915">
        <v>0</v>
      </c>
      <c r="AA915">
        <v>9</v>
      </c>
      <c r="AB915">
        <v>3</v>
      </c>
      <c r="AC915">
        <v>0</v>
      </c>
      <c r="AD915">
        <v>10</v>
      </c>
      <c r="AE915">
        <v>0</v>
      </c>
      <c r="AF915">
        <v>3</v>
      </c>
      <c r="AG915">
        <v>2</v>
      </c>
      <c r="AH915">
        <v>0</v>
      </c>
      <c r="AI915" t="s">
        <v>1016</v>
      </c>
      <c r="AJ915">
        <v>45.854379999999999</v>
      </c>
      <c r="AK915" t="s">
        <v>1017</v>
      </c>
      <c r="AL915">
        <v>-89.162291999999994</v>
      </c>
      <c r="AM915">
        <v>100</v>
      </c>
      <c r="AN915">
        <v>15100</v>
      </c>
      <c r="AO915" t="s">
        <v>118</v>
      </c>
      <c r="AP915">
        <v>144</v>
      </c>
      <c r="AQ915">
        <v>116</v>
      </c>
      <c r="AR915">
        <v>1024</v>
      </c>
      <c r="AZ915">
        <v>1200</v>
      </c>
      <c r="BA915">
        <v>1</v>
      </c>
      <c r="BB915" t="str">
        <f t="shared" si="45"/>
        <v xml:space="preserve">N690LS  </v>
      </c>
      <c r="BC915">
        <v>1</v>
      </c>
      <c r="BE915">
        <v>0</v>
      </c>
      <c r="BF915">
        <v>0</v>
      </c>
      <c r="BG915">
        <v>0</v>
      </c>
      <c r="BH915">
        <v>15575</v>
      </c>
      <c r="BI915">
        <v>1</v>
      </c>
      <c r="BJ915">
        <v>1</v>
      </c>
      <c r="BK915">
        <v>1</v>
      </c>
      <c r="BL915">
        <v>0</v>
      </c>
      <c r="BO915">
        <v>0</v>
      </c>
      <c r="BP915">
        <v>0</v>
      </c>
      <c r="BW915" t="str">
        <f>"13:58:06.213"</f>
        <v>13:58:06.213</v>
      </c>
      <c r="CJ915">
        <v>0</v>
      </c>
      <c r="CK915">
        <v>2</v>
      </c>
      <c r="CL915">
        <v>0</v>
      </c>
      <c r="CM915">
        <v>2</v>
      </c>
      <c r="CN915">
        <v>0</v>
      </c>
      <c r="CO915">
        <v>7</v>
      </c>
      <c r="CP915" t="s">
        <v>119</v>
      </c>
      <c r="CQ915">
        <v>197</v>
      </c>
      <c r="CR915">
        <v>0</v>
      </c>
      <c r="CW915">
        <v>16071005</v>
      </c>
      <c r="CY915">
        <v>1</v>
      </c>
      <c r="CZ915">
        <v>0</v>
      </c>
      <c r="DA915">
        <v>0</v>
      </c>
      <c r="DB915">
        <v>0</v>
      </c>
      <c r="DC915">
        <v>0</v>
      </c>
      <c r="DD915">
        <v>1</v>
      </c>
      <c r="DE915">
        <v>0</v>
      </c>
      <c r="DF915">
        <v>0</v>
      </c>
      <c r="DG915">
        <v>0</v>
      </c>
      <c r="DH915">
        <v>0</v>
      </c>
      <c r="DI915">
        <v>0</v>
      </c>
    </row>
    <row r="916" spans="1:113" x14ac:dyDescent="0.3">
      <c r="A916" t="str">
        <f>"09/28/2021 13:58:06.434"</f>
        <v>09/28/2021 13:58:06.434</v>
      </c>
      <c r="C916" t="str">
        <f t="shared" si="44"/>
        <v>FFDFD3C0</v>
      </c>
      <c r="D916" t="s">
        <v>120</v>
      </c>
      <c r="E916">
        <v>12</v>
      </c>
      <c r="F916">
        <v>1012</v>
      </c>
      <c r="G916" t="s">
        <v>114</v>
      </c>
      <c r="J916" t="s">
        <v>121</v>
      </c>
      <c r="K916">
        <v>0</v>
      </c>
      <c r="L916">
        <v>3</v>
      </c>
      <c r="M916">
        <v>0</v>
      </c>
      <c r="N916">
        <v>2</v>
      </c>
      <c r="O916">
        <v>1</v>
      </c>
      <c r="P916">
        <v>0</v>
      </c>
      <c r="Q916">
        <v>0</v>
      </c>
      <c r="S916" t="str">
        <f>"13:58:06.211"</f>
        <v>13:58:06.211</v>
      </c>
      <c r="T916" t="str">
        <f>"13:58:05.711"</f>
        <v>13:58:05.711</v>
      </c>
      <c r="U916" t="str">
        <f t="shared" si="46"/>
        <v>A92BC1</v>
      </c>
      <c r="V916">
        <v>0</v>
      </c>
      <c r="W916">
        <v>0</v>
      </c>
      <c r="X916">
        <v>2</v>
      </c>
      <c r="Z916">
        <v>0</v>
      </c>
      <c r="AA916">
        <v>9</v>
      </c>
      <c r="AB916">
        <v>3</v>
      </c>
      <c r="AC916">
        <v>0</v>
      </c>
      <c r="AD916">
        <v>10</v>
      </c>
      <c r="AE916">
        <v>0</v>
      </c>
      <c r="AF916">
        <v>3</v>
      </c>
      <c r="AG916">
        <v>2</v>
      </c>
      <c r="AH916">
        <v>0</v>
      </c>
      <c r="AI916" t="s">
        <v>1016</v>
      </c>
      <c r="AJ916">
        <v>45.854379999999999</v>
      </c>
      <c r="AK916" t="s">
        <v>1017</v>
      </c>
      <c r="AL916">
        <v>-89.162291999999994</v>
      </c>
      <c r="AM916">
        <v>100</v>
      </c>
      <c r="AN916">
        <v>15100</v>
      </c>
      <c r="AO916" t="s">
        <v>118</v>
      </c>
      <c r="AP916">
        <v>144</v>
      </c>
      <c r="AQ916">
        <v>116</v>
      </c>
      <c r="AR916">
        <v>1024</v>
      </c>
      <c r="AZ916">
        <v>1200</v>
      </c>
      <c r="BA916">
        <v>1</v>
      </c>
      <c r="BB916" t="str">
        <f t="shared" si="45"/>
        <v xml:space="preserve">N690LS  </v>
      </c>
      <c r="BC916">
        <v>1</v>
      </c>
      <c r="BE916">
        <v>0</v>
      </c>
      <c r="BF916">
        <v>0</v>
      </c>
      <c r="BG916">
        <v>0</v>
      </c>
      <c r="BH916">
        <v>15575</v>
      </c>
      <c r="BI916">
        <v>1</v>
      </c>
      <c r="BJ916">
        <v>1</v>
      </c>
      <c r="BK916">
        <v>1</v>
      </c>
      <c r="BL916">
        <v>0</v>
      </c>
      <c r="BO916">
        <v>0</v>
      </c>
      <c r="BP916">
        <v>0</v>
      </c>
      <c r="BW916" t="str">
        <f>"13:58:06.213"</f>
        <v>13:58:06.213</v>
      </c>
      <c r="CJ916">
        <v>0</v>
      </c>
      <c r="CK916">
        <v>2</v>
      </c>
      <c r="CL916">
        <v>0</v>
      </c>
      <c r="CM916">
        <v>2</v>
      </c>
      <c r="CN916">
        <v>0</v>
      </c>
      <c r="CO916">
        <v>7</v>
      </c>
      <c r="CP916" t="s">
        <v>119</v>
      </c>
      <c r="CQ916">
        <v>197</v>
      </c>
      <c r="CR916">
        <v>0</v>
      </c>
      <c r="CW916">
        <v>16071005</v>
      </c>
      <c r="CY916">
        <v>1</v>
      </c>
      <c r="CZ916">
        <v>0</v>
      </c>
      <c r="DA916">
        <v>1</v>
      </c>
      <c r="DB916">
        <v>0</v>
      </c>
      <c r="DC916">
        <v>0</v>
      </c>
      <c r="DD916">
        <v>1</v>
      </c>
      <c r="DE916">
        <v>0</v>
      </c>
      <c r="DF916">
        <v>0</v>
      </c>
      <c r="DG916">
        <v>0</v>
      </c>
      <c r="DH916">
        <v>0</v>
      </c>
      <c r="DI916">
        <v>0</v>
      </c>
    </row>
    <row r="917" spans="1:113" x14ac:dyDescent="0.3">
      <c r="A917" t="str">
        <f>"09/28/2021 13:58:07.386"</f>
        <v>09/28/2021 13:58:07.386</v>
      </c>
      <c r="C917" t="str">
        <f t="shared" si="44"/>
        <v>FFDFD3C0</v>
      </c>
      <c r="D917" t="s">
        <v>120</v>
      </c>
      <c r="E917">
        <v>12</v>
      </c>
      <c r="F917">
        <v>1012</v>
      </c>
      <c r="G917" t="s">
        <v>114</v>
      </c>
      <c r="J917" t="s">
        <v>121</v>
      </c>
      <c r="K917">
        <v>0</v>
      </c>
      <c r="L917">
        <v>3</v>
      </c>
      <c r="M917">
        <v>0</v>
      </c>
      <c r="N917">
        <v>2</v>
      </c>
      <c r="O917">
        <v>1</v>
      </c>
      <c r="P917">
        <v>0</v>
      </c>
      <c r="Q917">
        <v>0</v>
      </c>
      <c r="S917" t="str">
        <f>"13:58:07.203"</f>
        <v>13:58:07.203</v>
      </c>
      <c r="T917" t="str">
        <f>"13:58:06.803"</f>
        <v>13:58:06.803</v>
      </c>
      <c r="U917" t="str">
        <f t="shared" si="46"/>
        <v>A92BC1</v>
      </c>
      <c r="V917">
        <v>0</v>
      </c>
      <c r="W917">
        <v>0</v>
      </c>
      <c r="X917">
        <v>2</v>
      </c>
      <c r="Z917">
        <v>0</v>
      </c>
      <c r="AA917">
        <v>9</v>
      </c>
      <c r="AB917">
        <v>3</v>
      </c>
      <c r="AC917">
        <v>0</v>
      </c>
      <c r="AD917">
        <v>10</v>
      </c>
      <c r="AE917">
        <v>0</v>
      </c>
      <c r="AF917">
        <v>3</v>
      </c>
      <c r="AG917">
        <v>2</v>
      </c>
      <c r="AH917">
        <v>0</v>
      </c>
      <c r="AI917" t="s">
        <v>1018</v>
      </c>
      <c r="AJ917">
        <v>45.854917</v>
      </c>
      <c r="AK917" t="s">
        <v>1019</v>
      </c>
      <c r="AL917">
        <v>-89.161348000000004</v>
      </c>
      <c r="AM917">
        <v>100</v>
      </c>
      <c r="AN917">
        <v>15100</v>
      </c>
      <c r="AO917" t="s">
        <v>118</v>
      </c>
      <c r="AP917">
        <v>144</v>
      </c>
      <c r="AQ917">
        <v>117</v>
      </c>
      <c r="AR917">
        <v>1024</v>
      </c>
      <c r="AZ917">
        <v>1200</v>
      </c>
      <c r="BA917">
        <v>1</v>
      </c>
      <c r="BB917" t="str">
        <f t="shared" si="45"/>
        <v xml:space="preserve">N690LS  </v>
      </c>
      <c r="BC917">
        <v>1</v>
      </c>
      <c r="BE917">
        <v>0</v>
      </c>
      <c r="BF917">
        <v>0</v>
      </c>
      <c r="BG917">
        <v>0</v>
      </c>
      <c r="BH917">
        <v>15600</v>
      </c>
      <c r="BI917">
        <v>1</v>
      </c>
      <c r="BJ917">
        <v>1</v>
      </c>
      <c r="BK917">
        <v>1</v>
      </c>
      <c r="BL917">
        <v>0</v>
      </c>
      <c r="BO917">
        <v>0</v>
      </c>
      <c r="BP917">
        <v>0</v>
      </c>
      <c r="BW917" t="str">
        <f>"13:58:07.205"</f>
        <v>13:58:07.205</v>
      </c>
      <c r="CJ917">
        <v>0</v>
      </c>
      <c r="CK917">
        <v>2</v>
      </c>
      <c r="CL917">
        <v>0</v>
      </c>
      <c r="CM917">
        <v>2</v>
      </c>
      <c r="CN917">
        <v>0</v>
      </c>
      <c r="CO917">
        <v>6</v>
      </c>
      <c r="CP917" t="s">
        <v>119</v>
      </c>
      <c r="CQ917">
        <v>171</v>
      </c>
      <c r="CR917">
        <v>3</v>
      </c>
      <c r="CW917">
        <v>14691230</v>
      </c>
      <c r="CY917">
        <v>1</v>
      </c>
      <c r="CZ917">
        <v>0</v>
      </c>
      <c r="DA917">
        <v>0</v>
      </c>
      <c r="DB917">
        <v>0</v>
      </c>
      <c r="DC917">
        <v>0</v>
      </c>
      <c r="DD917">
        <v>1</v>
      </c>
      <c r="DE917">
        <v>0</v>
      </c>
      <c r="DF917">
        <v>0</v>
      </c>
      <c r="DG917">
        <v>0</v>
      </c>
      <c r="DH917">
        <v>0</v>
      </c>
      <c r="DI917">
        <v>0</v>
      </c>
    </row>
    <row r="918" spans="1:113" x14ac:dyDescent="0.3">
      <c r="A918" t="str">
        <f>"09/28/2021 13:58:07.417"</f>
        <v>09/28/2021 13:58:07.417</v>
      </c>
      <c r="C918" t="str">
        <f t="shared" si="44"/>
        <v>FFDFD3C0</v>
      </c>
      <c r="D918" t="s">
        <v>113</v>
      </c>
      <c r="E918">
        <v>7</v>
      </c>
      <c r="H918">
        <v>170</v>
      </c>
      <c r="I918" t="s">
        <v>114</v>
      </c>
      <c r="J918" t="s">
        <v>115</v>
      </c>
      <c r="K918">
        <v>0</v>
      </c>
      <c r="L918">
        <v>3</v>
      </c>
      <c r="M918">
        <v>0</v>
      </c>
      <c r="N918">
        <v>2</v>
      </c>
      <c r="O918">
        <v>1</v>
      </c>
      <c r="P918">
        <v>0</v>
      </c>
      <c r="Q918">
        <v>0</v>
      </c>
      <c r="S918" t="str">
        <f>"13:58:07.203"</f>
        <v>13:58:07.203</v>
      </c>
      <c r="T918" t="str">
        <f>"13:58:06.803"</f>
        <v>13:58:06.803</v>
      </c>
      <c r="U918" t="str">
        <f t="shared" si="46"/>
        <v>A92BC1</v>
      </c>
      <c r="V918">
        <v>0</v>
      </c>
      <c r="W918">
        <v>0</v>
      </c>
      <c r="X918">
        <v>2</v>
      </c>
      <c r="Z918">
        <v>0</v>
      </c>
      <c r="AA918">
        <v>9</v>
      </c>
      <c r="AB918">
        <v>3</v>
      </c>
      <c r="AC918">
        <v>0</v>
      </c>
      <c r="AD918">
        <v>10</v>
      </c>
      <c r="AE918">
        <v>0</v>
      </c>
      <c r="AF918">
        <v>3</v>
      </c>
      <c r="AG918">
        <v>2</v>
      </c>
      <c r="AH918">
        <v>0</v>
      </c>
      <c r="AI918" t="s">
        <v>1018</v>
      </c>
      <c r="AJ918">
        <v>45.854917</v>
      </c>
      <c r="AK918" t="s">
        <v>1019</v>
      </c>
      <c r="AL918">
        <v>-89.161348000000004</v>
      </c>
      <c r="AM918">
        <v>100</v>
      </c>
      <c r="AN918">
        <v>15100</v>
      </c>
      <c r="AO918" t="s">
        <v>118</v>
      </c>
      <c r="AP918">
        <v>144</v>
      </c>
      <c r="AQ918">
        <v>117</v>
      </c>
      <c r="AR918">
        <v>1024</v>
      </c>
      <c r="AZ918">
        <v>1200</v>
      </c>
      <c r="BA918">
        <v>1</v>
      </c>
      <c r="BB918" t="str">
        <f t="shared" si="45"/>
        <v xml:space="preserve">N690LS  </v>
      </c>
      <c r="BC918">
        <v>1</v>
      </c>
      <c r="BE918">
        <v>0</v>
      </c>
      <c r="BF918">
        <v>0</v>
      </c>
      <c r="BG918">
        <v>0</v>
      </c>
      <c r="BH918">
        <v>15600</v>
      </c>
      <c r="BI918">
        <v>1</v>
      </c>
      <c r="BJ918">
        <v>1</v>
      </c>
      <c r="BK918">
        <v>1</v>
      </c>
      <c r="BL918">
        <v>0</v>
      </c>
      <c r="BO918">
        <v>0</v>
      </c>
      <c r="BP918">
        <v>0</v>
      </c>
      <c r="BW918" t="str">
        <f>"13:58:07.205"</f>
        <v>13:58:07.205</v>
      </c>
      <c r="CJ918">
        <v>0</v>
      </c>
      <c r="CK918">
        <v>2</v>
      </c>
      <c r="CL918">
        <v>0</v>
      </c>
      <c r="CM918">
        <v>2</v>
      </c>
      <c r="CN918">
        <v>0</v>
      </c>
      <c r="CO918">
        <v>6</v>
      </c>
      <c r="CP918" t="s">
        <v>119</v>
      </c>
      <c r="CQ918">
        <v>171</v>
      </c>
      <c r="CR918">
        <v>3</v>
      </c>
      <c r="CW918">
        <v>14691230</v>
      </c>
      <c r="CY918">
        <v>1</v>
      </c>
      <c r="CZ918">
        <v>0</v>
      </c>
      <c r="DA918">
        <v>1</v>
      </c>
      <c r="DB918">
        <v>0</v>
      </c>
      <c r="DC918">
        <v>0</v>
      </c>
      <c r="DD918">
        <v>1</v>
      </c>
      <c r="DE918">
        <v>0</v>
      </c>
      <c r="DF918">
        <v>0</v>
      </c>
      <c r="DG918">
        <v>0</v>
      </c>
      <c r="DH918">
        <v>0</v>
      </c>
      <c r="DI918">
        <v>0</v>
      </c>
    </row>
    <row r="919" spans="1:113" x14ac:dyDescent="0.3">
      <c r="A919" t="str">
        <f>"09/28/2021 13:58:08.339"</f>
        <v>09/28/2021 13:58:08.339</v>
      </c>
      <c r="C919" t="str">
        <f t="shared" si="44"/>
        <v>FFDFD3C0</v>
      </c>
      <c r="D919" t="s">
        <v>120</v>
      </c>
      <c r="E919">
        <v>12</v>
      </c>
      <c r="F919">
        <v>1012</v>
      </c>
      <c r="G919" t="s">
        <v>114</v>
      </c>
      <c r="J919" t="s">
        <v>121</v>
      </c>
      <c r="K919">
        <v>0</v>
      </c>
      <c r="L919">
        <v>3</v>
      </c>
      <c r="M919">
        <v>0</v>
      </c>
      <c r="N919">
        <v>2</v>
      </c>
      <c r="O919">
        <v>1</v>
      </c>
      <c r="P919">
        <v>0</v>
      </c>
      <c r="Q919">
        <v>0</v>
      </c>
      <c r="S919" t="str">
        <f>"13:58:08.156"</f>
        <v>13:58:08.156</v>
      </c>
      <c r="T919" t="str">
        <f>"13:58:07.656"</f>
        <v>13:58:07.656</v>
      </c>
      <c r="U919" t="str">
        <f t="shared" si="46"/>
        <v>A92BC1</v>
      </c>
      <c r="V919">
        <v>0</v>
      </c>
      <c r="W919">
        <v>0</v>
      </c>
      <c r="X919">
        <v>2</v>
      </c>
      <c r="Z919">
        <v>0</v>
      </c>
      <c r="AA919">
        <v>9</v>
      </c>
      <c r="AB919">
        <v>3</v>
      </c>
      <c r="AC919">
        <v>0</v>
      </c>
      <c r="AD919">
        <v>10</v>
      </c>
      <c r="AE919">
        <v>0</v>
      </c>
      <c r="AF919">
        <v>3</v>
      </c>
      <c r="AG919">
        <v>2</v>
      </c>
      <c r="AH919">
        <v>0</v>
      </c>
      <c r="AI919" t="s">
        <v>1020</v>
      </c>
      <c r="AJ919">
        <v>45.855474000000001</v>
      </c>
      <c r="AK919" t="s">
        <v>1021</v>
      </c>
      <c r="AL919">
        <v>-89.160426000000001</v>
      </c>
      <c r="AM919">
        <v>100</v>
      </c>
      <c r="AN919">
        <v>15100</v>
      </c>
      <c r="AO919" t="s">
        <v>118</v>
      </c>
      <c r="AP919">
        <v>144</v>
      </c>
      <c r="AQ919">
        <v>117</v>
      </c>
      <c r="AR919">
        <v>1024</v>
      </c>
      <c r="AZ919">
        <v>1200</v>
      </c>
      <c r="BA919">
        <v>1</v>
      </c>
      <c r="BB919" t="str">
        <f t="shared" si="45"/>
        <v xml:space="preserve">N690LS  </v>
      </c>
      <c r="BC919">
        <v>1</v>
      </c>
      <c r="BE919">
        <v>0</v>
      </c>
      <c r="BF919">
        <v>0</v>
      </c>
      <c r="BG919">
        <v>0</v>
      </c>
      <c r="BH919">
        <v>15600</v>
      </c>
      <c r="BI919">
        <v>1</v>
      </c>
      <c r="BJ919">
        <v>1</v>
      </c>
      <c r="BK919">
        <v>1</v>
      </c>
      <c r="BL919">
        <v>0</v>
      </c>
      <c r="BO919">
        <v>0</v>
      </c>
      <c r="BP919">
        <v>0</v>
      </c>
      <c r="BW919" t="str">
        <f>"13:58:08.164"</f>
        <v>13:58:08.164</v>
      </c>
      <c r="CJ919">
        <v>0</v>
      </c>
      <c r="CK919">
        <v>2</v>
      </c>
      <c r="CL919">
        <v>0</v>
      </c>
      <c r="CM919">
        <v>2</v>
      </c>
      <c r="CN919">
        <v>0</v>
      </c>
      <c r="CO919">
        <v>6</v>
      </c>
      <c r="CP919" t="s">
        <v>119</v>
      </c>
      <c r="CQ919">
        <v>171</v>
      </c>
      <c r="CR919">
        <v>3</v>
      </c>
      <c r="CW919">
        <v>14691863</v>
      </c>
      <c r="CY919">
        <v>1</v>
      </c>
      <c r="CZ919">
        <v>0</v>
      </c>
      <c r="DA919">
        <v>0</v>
      </c>
      <c r="DB919">
        <v>0</v>
      </c>
      <c r="DC919">
        <v>0</v>
      </c>
      <c r="DD919">
        <v>1</v>
      </c>
      <c r="DE919">
        <v>0</v>
      </c>
      <c r="DF919">
        <v>0</v>
      </c>
      <c r="DG919">
        <v>0</v>
      </c>
      <c r="DH919">
        <v>0</v>
      </c>
      <c r="DI919">
        <v>0</v>
      </c>
    </row>
    <row r="920" spans="1:113" x14ac:dyDescent="0.3">
      <c r="A920" t="str">
        <f>"09/28/2021 13:58:08.370"</f>
        <v>09/28/2021 13:58:08.370</v>
      </c>
      <c r="C920" t="str">
        <f t="shared" si="44"/>
        <v>FFDFD3C0</v>
      </c>
      <c r="D920" t="s">
        <v>113</v>
      </c>
      <c r="E920">
        <v>7</v>
      </c>
      <c r="H920">
        <v>170</v>
      </c>
      <c r="I920" t="s">
        <v>114</v>
      </c>
      <c r="J920" t="s">
        <v>115</v>
      </c>
      <c r="K920">
        <v>0</v>
      </c>
      <c r="L920">
        <v>3</v>
      </c>
      <c r="M920">
        <v>0</v>
      </c>
      <c r="N920">
        <v>2</v>
      </c>
      <c r="O920">
        <v>1</v>
      </c>
      <c r="P920">
        <v>0</v>
      </c>
      <c r="Q920">
        <v>0</v>
      </c>
      <c r="S920" t="str">
        <f>"13:58:08.156"</f>
        <v>13:58:08.156</v>
      </c>
      <c r="T920" t="str">
        <f>"13:58:07.656"</f>
        <v>13:58:07.656</v>
      </c>
      <c r="U920" t="str">
        <f t="shared" si="46"/>
        <v>A92BC1</v>
      </c>
      <c r="V920">
        <v>0</v>
      </c>
      <c r="W920">
        <v>0</v>
      </c>
      <c r="X920">
        <v>2</v>
      </c>
      <c r="Z920">
        <v>0</v>
      </c>
      <c r="AA920">
        <v>9</v>
      </c>
      <c r="AB920">
        <v>3</v>
      </c>
      <c r="AC920">
        <v>0</v>
      </c>
      <c r="AD920">
        <v>10</v>
      </c>
      <c r="AE920">
        <v>0</v>
      </c>
      <c r="AF920">
        <v>3</v>
      </c>
      <c r="AG920">
        <v>2</v>
      </c>
      <c r="AH920">
        <v>0</v>
      </c>
      <c r="AI920" t="s">
        <v>1020</v>
      </c>
      <c r="AJ920">
        <v>45.855474000000001</v>
      </c>
      <c r="AK920" t="s">
        <v>1021</v>
      </c>
      <c r="AL920">
        <v>-89.160426000000001</v>
      </c>
      <c r="AM920">
        <v>100</v>
      </c>
      <c r="AN920">
        <v>15100</v>
      </c>
      <c r="AO920" t="s">
        <v>118</v>
      </c>
      <c r="AP920">
        <v>144</v>
      </c>
      <c r="AQ920">
        <v>117</v>
      </c>
      <c r="AR920">
        <v>1024</v>
      </c>
      <c r="AZ920">
        <v>1200</v>
      </c>
      <c r="BA920">
        <v>1</v>
      </c>
      <c r="BB920" t="str">
        <f t="shared" si="45"/>
        <v xml:space="preserve">N690LS  </v>
      </c>
      <c r="BC920">
        <v>1</v>
      </c>
      <c r="BE920">
        <v>0</v>
      </c>
      <c r="BF920">
        <v>0</v>
      </c>
      <c r="BG920">
        <v>0</v>
      </c>
      <c r="BH920">
        <v>15600</v>
      </c>
      <c r="BI920">
        <v>1</v>
      </c>
      <c r="BJ920">
        <v>1</v>
      </c>
      <c r="BK920">
        <v>1</v>
      </c>
      <c r="BL920">
        <v>0</v>
      </c>
      <c r="BO920">
        <v>0</v>
      </c>
      <c r="BP920">
        <v>0</v>
      </c>
      <c r="BW920" t="str">
        <f>"13:58:08.164"</f>
        <v>13:58:08.164</v>
      </c>
      <c r="CJ920">
        <v>0</v>
      </c>
      <c r="CK920">
        <v>2</v>
      </c>
      <c r="CL920">
        <v>0</v>
      </c>
      <c r="CM920">
        <v>2</v>
      </c>
      <c r="CN920">
        <v>0</v>
      </c>
      <c r="CO920">
        <v>6</v>
      </c>
      <c r="CP920" t="s">
        <v>119</v>
      </c>
      <c r="CQ920">
        <v>171</v>
      </c>
      <c r="CR920">
        <v>3</v>
      </c>
      <c r="CW920">
        <v>14691863</v>
      </c>
      <c r="CY920">
        <v>1</v>
      </c>
      <c r="CZ920">
        <v>0</v>
      </c>
      <c r="DA920">
        <v>1</v>
      </c>
      <c r="DB920">
        <v>0</v>
      </c>
      <c r="DC920">
        <v>0</v>
      </c>
      <c r="DD920">
        <v>1</v>
      </c>
      <c r="DE920">
        <v>0</v>
      </c>
      <c r="DF920">
        <v>0</v>
      </c>
      <c r="DG920">
        <v>0</v>
      </c>
      <c r="DH920">
        <v>0</v>
      </c>
      <c r="DI920">
        <v>0</v>
      </c>
    </row>
    <row r="921" spans="1:113" x14ac:dyDescent="0.3">
      <c r="A921" t="str">
        <f>"09/28/2021 13:58:09.325"</f>
        <v>09/28/2021 13:58:09.325</v>
      </c>
      <c r="C921" t="str">
        <f t="shared" si="44"/>
        <v>FFDFD3C0</v>
      </c>
      <c r="D921" t="s">
        <v>120</v>
      </c>
      <c r="E921">
        <v>12</v>
      </c>
      <c r="F921">
        <v>1012</v>
      </c>
      <c r="G921" t="s">
        <v>114</v>
      </c>
      <c r="J921" t="s">
        <v>121</v>
      </c>
      <c r="K921">
        <v>0</v>
      </c>
      <c r="L921">
        <v>3</v>
      </c>
      <c r="M921">
        <v>0</v>
      </c>
      <c r="N921">
        <v>2</v>
      </c>
      <c r="O921">
        <v>1</v>
      </c>
      <c r="P921">
        <v>0</v>
      </c>
      <c r="Q921">
        <v>0</v>
      </c>
      <c r="S921" t="str">
        <f>"13:58:09.117"</f>
        <v>13:58:09.117</v>
      </c>
      <c r="T921" t="str">
        <f>"13:58:08.617"</f>
        <v>13:58:08.617</v>
      </c>
      <c r="U921" t="str">
        <f t="shared" si="46"/>
        <v>A92BC1</v>
      </c>
      <c r="V921">
        <v>0</v>
      </c>
      <c r="W921">
        <v>0</v>
      </c>
      <c r="X921">
        <v>2</v>
      </c>
      <c r="Z921">
        <v>0</v>
      </c>
      <c r="AA921">
        <v>9</v>
      </c>
      <c r="AB921">
        <v>3</v>
      </c>
      <c r="AC921">
        <v>0</v>
      </c>
      <c r="AD921">
        <v>10</v>
      </c>
      <c r="AE921">
        <v>0</v>
      </c>
      <c r="AF921">
        <v>3</v>
      </c>
      <c r="AG921">
        <v>2</v>
      </c>
      <c r="AH921">
        <v>0</v>
      </c>
      <c r="AI921" t="s">
        <v>1022</v>
      </c>
      <c r="AJ921">
        <v>45.855947</v>
      </c>
      <c r="AK921" t="s">
        <v>1023</v>
      </c>
      <c r="AL921">
        <v>-89.159546000000006</v>
      </c>
      <c r="AM921">
        <v>100</v>
      </c>
      <c r="AN921">
        <v>15100</v>
      </c>
      <c r="AO921" t="s">
        <v>118</v>
      </c>
      <c r="AP921">
        <v>145</v>
      </c>
      <c r="AQ921">
        <v>117</v>
      </c>
      <c r="AR921">
        <v>1024</v>
      </c>
      <c r="AZ921">
        <v>1200</v>
      </c>
      <c r="BA921">
        <v>1</v>
      </c>
      <c r="BB921" t="str">
        <f t="shared" si="45"/>
        <v xml:space="preserve">N690LS  </v>
      </c>
      <c r="BC921">
        <v>1</v>
      </c>
      <c r="BE921">
        <v>0</v>
      </c>
      <c r="BF921">
        <v>0</v>
      </c>
      <c r="BG921">
        <v>0</v>
      </c>
      <c r="BH921">
        <v>15625</v>
      </c>
      <c r="BI921">
        <v>1</v>
      </c>
      <c r="BJ921">
        <v>1</v>
      </c>
      <c r="BK921">
        <v>1</v>
      </c>
      <c r="BL921">
        <v>0</v>
      </c>
      <c r="BO921">
        <v>0</v>
      </c>
      <c r="BP921">
        <v>0</v>
      </c>
      <c r="BW921" t="str">
        <f>"13:58:09.124"</f>
        <v>13:58:09.124</v>
      </c>
      <c r="CJ921">
        <v>0</v>
      </c>
      <c r="CK921">
        <v>2</v>
      </c>
      <c r="CL921">
        <v>0</v>
      </c>
      <c r="CM921">
        <v>2</v>
      </c>
      <c r="CN921">
        <v>0</v>
      </c>
      <c r="CO921">
        <v>7</v>
      </c>
      <c r="CP921" t="s">
        <v>119</v>
      </c>
      <c r="CQ921">
        <v>197</v>
      </c>
      <c r="CR921">
        <v>1</v>
      </c>
      <c r="CW921">
        <v>7471270</v>
      </c>
      <c r="CY921">
        <v>1</v>
      </c>
      <c r="CZ921">
        <v>0</v>
      </c>
      <c r="DA921">
        <v>0</v>
      </c>
      <c r="DB921">
        <v>0</v>
      </c>
      <c r="DC921">
        <v>0</v>
      </c>
      <c r="DD921">
        <v>1</v>
      </c>
      <c r="DE921">
        <v>0</v>
      </c>
      <c r="DF921">
        <v>0</v>
      </c>
      <c r="DG921">
        <v>0</v>
      </c>
      <c r="DH921">
        <v>0</v>
      </c>
      <c r="DI921">
        <v>0</v>
      </c>
    </row>
    <row r="922" spans="1:113" x14ac:dyDescent="0.3">
      <c r="A922" t="str">
        <f>"09/28/2021 13:58:09.388"</f>
        <v>09/28/2021 13:58:09.388</v>
      </c>
      <c r="C922" t="str">
        <f t="shared" si="44"/>
        <v>FFDFD3C0</v>
      </c>
      <c r="D922" t="s">
        <v>113</v>
      </c>
      <c r="E922">
        <v>7</v>
      </c>
      <c r="H922">
        <v>170</v>
      </c>
      <c r="I922" t="s">
        <v>114</v>
      </c>
      <c r="J922" t="s">
        <v>115</v>
      </c>
      <c r="K922">
        <v>0</v>
      </c>
      <c r="L922">
        <v>3</v>
      </c>
      <c r="M922">
        <v>0</v>
      </c>
      <c r="N922">
        <v>2</v>
      </c>
      <c r="O922">
        <v>1</v>
      </c>
      <c r="P922">
        <v>0</v>
      </c>
      <c r="Q922">
        <v>0</v>
      </c>
      <c r="S922" t="str">
        <f>"13:58:09.117"</f>
        <v>13:58:09.117</v>
      </c>
      <c r="T922" t="str">
        <f>"13:58:08.617"</f>
        <v>13:58:08.617</v>
      </c>
      <c r="U922" t="str">
        <f t="shared" si="46"/>
        <v>A92BC1</v>
      </c>
      <c r="V922">
        <v>0</v>
      </c>
      <c r="W922">
        <v>0</v>
      </c>
      <c r="X922">
        <v>2</v>
      </c>
      <c r="Z922">
        <v>0</v>
      </c>
      <c r="AA922">
        <v>9</v>
      </c>
      <c r="AB922">
        <v>3</v>
      </c>
      <c r="AC922">
        <v>0</v>
      </c>
      <c r="AD922">
        <v>10</v>
      </c>
      <c r="AE922">
        <v>0</v>
      </c>
      <c r="AF922">
        <v>3</v>
      </c>
      <c r="AG922">
        <v>2</v>
      </c>
      <c r="AH922">
        <v>0</v>
      </c>
      <c r="AI922" t="s">
        <v>1022</v>
      </c>
      <c r="AJ922">
        <v>45.855947</v>
      </c>
      <c r="AK922" t="s">
        <v>1023</v>
      </c>
      <c r="AL922">
        <v>-89.159546000000006</v>
      </c>
      <c r="AM922">
        <v>100</v>
      </c>
      <c r="AN922">
        <v>15100</v>
      </c>
      <c r="AO922" t="s">
        <v>118</v>
      </c>
      <c r="AP922">
        <v>145</v>
      </c>
      <c r="AQ922">
        <v>117</v>
      </c>
      <c r="AR922">
        <v>1024</v>
      </c>
      <c r="AZ922">
        <v>1200</v>
      </c>
      <c r="BA922">
        <v>1</v>
      </c>
      <c r="BB922" t="str">
        <f t="shared" si="45"/>
        <v xml:space="preserve">N690LS  </v>
      </c>
      <c r="BC922">
        <v>1</v>
      </c>
      <c r="BE922">
        <v>0</v>
      </c>
      <c r="BF922">
        <v>0</v>
      </c>
      <c r="BG922">
        <v>0</v>
      </c>
      <c r="BH922">
        <v>15625</v>
      </c>
      <c r="BI922">
        <v>1</v>
      </c>
      <c r="BJ922">
        <v>1</v>
      </c>
      <c r="BK922">
        <v>1</v>
      </c>
      <c r="BL922">
        <v>0</v>
      </c>
      <c r="BO922">
        <v>0</v>
      </c>
      <c r="BP922">
        <v>0</v>
      </c>
      <c r="BW922" t="str">
        <f>"13:58:09.124"</f>
        <v>13:58:09.124</v>
      </c>
      <c r="CJ922">
        <v>0</v>
      </c>
      <c r="CK922">
        <v>2</v>
      </c>
      <c r="CL922">
        <v>0</v>
      </c>
      <c r="CM922">
        <v>2</v>
      </c>
      <c r="CN922">
        <v>0</v>
      </c>
      <c r="CO922">
        <v>7</v>
      </c>
      <c r="CP922" t="s">
        <v>119</v>
      </c>
      <c r="CQ922">
        <v>197</v>
      </c>
      <c r="CR922">
        <v>1</v>
      </c>
      <c r="CW922">
        <v>7471270</v>
      </c>
      <c r="CY922">
        <v>1</v>
      </c>
      <c r="CZ922">
        <v>0</v>
      </c>
      <c r="DA922">
        <v>1</v>
      </c>
      <c r="DB922">
        <v>0</v>
      </c>
      <c r="DC922">
        <v>0</v>
      </c>
      <c r="DD922">
        <v>1</v>
      </c>
      <c r="DE922">
        <v>0</v>
      </c>
      <c r="DF922">
        <v>0</v>
      </c>
      <c r="DG922">
        <v>0</v>
      </c>
      <c r="DH922">
        <v>0</v>
      </c>
      <c r="DI922">
        <v>0</v>
      </c>
    </row>
    <row r="923" spans="1:113" x14ac:dyDescent="0.3">
      <c r="A923" t="str">
        <f>"09/28/2021 13:58:10.451"</f>
        <v>09/28/2021 13:58:10.451</v>
      </c>
      <c r="C923" t="str">
        <f t="shared" si="44"/>
        <v>FFDFD3C0</v>
      </c>
      <c r="D923" t="s">
        <v>120</v>
      </c>
      <c r="E923">
        <v>12</v>
      </c>
      <c r="F923">
        <v>1012</v>
      </c>
      <c r="G923" t="s">
        <v>114</v>
      </c>
      <c r="J923" t="s">
        <v>121</v>
      </c>
      <c r="K923">
        <v>0</v>
      </c>
      <c r="L923">
        <v>3</v>
      </c>
      <c r="M923">
        <v>0</v>
      </c>
      <c r="N923">
        <v>2</v>
      </c>
      <c r="O923">
        <v>1</v>
      </c>
      <c r="P923">
        <v>0</v>
      </c>
      <c r="Q923">
        <v>0</v>
      </c>
      <c r="S923" t="str">
        <f>"13:58:10.234"</f>
        <v>13:58:10.234</v>
      </c>
      <c r="T923" t="str">
        <f>"13:58:09.734"</f>
        <v>13:58:09.734</v>
      </c>
      <c r="U923" t="str">
        <f t="shared" si="46"/>
        <v>A92BC1</v>
      </c>
      <c r="V923">
        <v>0</v>
      </c>
      <c r="W923">
        <v>0</v>
      </c>
      <c r="X923">
        <v>2</v>
      </c>
      <c r="Z923">
        <v>0</v>
      </c>
      <c r="AA923">
        <v>9</v>
      </c>
      <c r="AB923">
        <v>3</v>
      </c>
      <c r="AC923">
        <v>0</v>
      </c>
      <c r="AD923">
        <v>10</v>
      </c>
      <c r="AE923">
        <v>0</v>
      </c>
      <c r="AF923">
        <v>3</v>
      </c>
      <c r="AG923">
        <v>2</v>
      </c>
      <c r="AH923">
        <v>0</v>
      </c>
      <c r="AI923" t="s">
        <v>1024</v>
      </c>
      <c r="AJ923">
        <v>45.856611999999998</v>
      </c>
      <c r="AK923" t="s">
        <v>1025</v>
      </c>
      <c r="AL923">
        <v>-89.158387000000005</v>
      </c>
      <c r="AM923">
        <v>100</v>
      </c>
      <c r="AN923">
        <v>15100</v>
      </c>
      <c r="AO923" t="s">
        <v>118</v>
      </c>
      <c r="AP923">
        <v>145</v>
      </c>
      <c r="AQ923">
        <v>117</v>
      </c>
      <c r="AR923">
        <v>1024</v>
      </c>
      <c r="AZ923">
        <v>1200</v>
      </c>
      <c r="BA923">
        <v>1</v>
      </c>
      <c r="BB923" t="str">
        <f t="shared" si="45"/>
        <v xml:space="preserve">N690LS  </v>
      </c>
      <c r="BC923">
        <v>1</v>
      </c>
      <c r="BE923">
        <v>0</v>
      </c>
      <c r="BF923">
        <v>0</v>
      </c>
      <c r="BG923">
        <v>0</v>
      </c>
      <c r="BH923">
        <v>15650</v>
      </c>
      <c r="BI923">
        <v>1</v>
      </c>
      <c r="BJ923">
        <v>1</v>
      </c>
      <c r="BK923">
        <v>1</v>
      </c>
      <c r="BL923">
        <v>0</v>
      </c>
      <c r="BO923">
        <v>0</v>
      </c>
      <c r="BP923">
        <v>0</v>
      </c>
      <c r="BW923" t="str">
        <f>"13:58:10.239"</f>
        <v>13:58:10.239</v>
      </c>
      <c r="CJ923">
        <v>0</v>
      </c>
      <c r="CK923">
        <v>2</v>
      </c>
      <c r="CL923">
        <v>0</v>
      </c>
      <c r="CM923">
        <v>2</v>
      </c>
      <c r="CN923">
        <v>0</v>
      </c>
      <c r="CO923">
        <v>7</v>
      </c>
      <c r="CP923" t="s">
        <v>119</v>
      </c>
      <c r="CQ923">
        <v>209</v>
      </c>
      <c r="CR923">
        <v>3</v>
      </c>
      <c r="CW923">
        <v>7252599</v>
      </c>
      <c r="CY923">
        <v>1</v>
      </c>
      <c r="CZ923">
        <v>0</v>
      </c>
      <c r="DA923">
        <v>0</v>
      </c>
      <c r="DB923">
        <v>0</v>
      </c>
      <c r="DC923">
        <v>0</v>
      </c>
      <c r="DD923">
        <v>1</v>
      </c>
      <c r="DE923">
        <v>0</v>
      </c>
      <c r="DF923">
        <v>0</v>
      </c>
      <c r="DG923">
        <v>0</v>
      </c>
      <c r="DH923">
        <v>0</v>
      </c>
      <c r="DI923">
        <v>0</v>
      </c>
    </row>
    <row r="924" spans="1:113" x14ac:dyDescent="0.3">
      <c r="A924" t="str">
        <f>"09/28/2021 13:58:10.529"</f>
        <v>09/28/2021 13:58:10.529</v>
      </c>
      <c r="C924" t="str">
        <f t="shared" si="44"/>
        <v>FFDFD3C0</v>
      </c>
      <c r="D924" t="s">
        <v>113</v>
      </c>
      <c r="E924">
        <v>7</v>
      </c>
      <c r="H924">
        <v>170</v>
      </c>
      <c r="I924" t="s">
        <v>114</v>
      </c>
      <c r="J924" t="s">
        <v>115</v>
      </c>
      <c r="K924">
        <v>0</v>
      </c>
      <c r="L924">
        <v>3</v>
      </c>
      <c r="M924">
        <v>0</v>
      </c>
      <c r="N924">
        <v>2</v>
      </c>
      <c r="O924">
        <v>1</v>
      </c>
      <c r="P924">
        <v>0</v>
      </c>
      <c r="Q924">
        <v>0</v>
      </c>
      <c r="S924" t="str">
        <f>"13:58:10.234"</f>
        <v>13:58:10.234</v>
      </c>
      <c r="T924" t="str">
        <f>"13:58:09.734"</f>
        <v>13:58:09.734</v>
      </c>
      <c r="U924" t="str">
        <f t="shared" si="46"/>
        <v>A92BC1</v>
      </c>
      <c r="V924">
        <v>0</v>
      </c>
      <c r="W924">
        <v>0</v>
      </c>
      <c r="X924">
        <v>2</v>
      </c>
      <c r="Z924">
        <v>0</v>
      </c>
      <c r="AA924">
        <v>9</v>
      </c>
      <c r="AB924">
        <v>3</v>
      </c>
      <c r="AC924">
        <v>0</v>
      </c>
      <c r="AD924">
        <v>10</v>
      </c>
      <c r="AE924">
        <v>0</v>
      </c>
      <c r="AF924">
        <v>3</v>
      </c>
      <c r="AG924">
        <v>2</v>
      </c>
      <c r="AH924">
        <v>0</v>
      </c>
      <c r="AI924" t="s">
        <v>1024</v>
      </c>
      <c r="AJ924">
        <v>45.856611999999998</v>
      </c>
      <c r="AK924" t="s">
        <v>1025</v>
      </c>
      <c r="AL924">
        <v>-89.158387000000005</v>
      </c>
      <c r="AM924">
        <v>100</v>
      </c>
      <c r="AN924">
        <v>15100</v>
      </c>
      <c r="AO924" t="s">
        <v>118</v>
      </c>
      <c r="AP924">
        <v>145</v>
      </c>
      <c r="AQ924">
        <v>117</v>
      </c>
      <c r="AR924">
        <v>1024</v>
      </c>
      <c r="AZ924">
        <v>1200</v>
      </c>
      <c r="BA924">
        <v>1</v>
      </c>
      <c r="BB924" t="str">
        <f t="shared" si="45"/>
        <v xml:space="preserve">N690LS  </v>
      </c>
      <c r="BC924">
        <v>1</v>
      </c>
      <c r="BE924">
        <v>0</v>
      </c>
      <c r="BF924">
        <v>0</v>
      </c>
      <c r="BG924">
        <v>0</v>
      </c>
      <c r="BH924">
        <v>15650</v>
      </c>
      <c r="BI924">
        <v>1</v>
      </c>
      <c r="BJ924">
        <v>1</v>
      </c>
      <c r="BK924">
        <v>1</v>
      </c>
      <c r="BL924">
        <v>0</v>
      </c>
      <c r="BO924">
        <v>0</v>
      </c>
      <c r="BP924">
        <v>0</v>
      </c>
      <c r="BW924" t="str">
        <f>"13:58:10.239"</f>
        <v>13:58:10.239</v>
      </c>
      <c r="CJ924">
        <v>0</v>
      </c>
      <c r="CK924">
        <v>2</v>
      </c>
      <c r="CL924">
        <v>0</v>
      </c>
      <c r="CM924">
        <v>2</v>
      </c>
      <c r="CN924">
        <v>0</v>
      </c>
      <c r="CO924">
        <v>7</v>
      </c>
      <c r="CP924" t="s">
        <v>119</v>
      </c>
      <c r="CQ924">
        <v>209</v>
      </c>
      <c r="CR924">
        <v>3</v>
      </c>
      <c r="CW924">
        <v>7252599</v>
      </c>
      <c r="CY924">
        <v>1</v>
      </c>
      <c r="CZ924">
        <v>0</v>
      </c>
      <c r="DA924">
        <v>1</v>
      </c>
      <c r="DB924">
        <v>0</v>
      </c>
      <c r="DC924">
        <v>0</v>
      </c>
      <c r="DD924">
        <v>1</v>
      </c>
      <c r="DE924">
        <v>0</v>
      </c>
      <c r="DF924">
        <v>0</v>
      </c>
      <c r="DG924">
        <v>0</v>
      </c>
      <c r="DH924">
        <v>0</v>
      </c>
      <c r="DI924">
        <v>0</v>
      </c>
    </row>
    <row r="925" spans="1:113" x14ac:dyDescent="0.3">
      <c r="A925" t="str">
        <f>"09/28/2021 13:58:11.557"</f>
        <v>09/28/2021 13:58:11.557</v>
      </c>
      <c r="C925" t="str">
        <f t="shared" si="44"/>
        <v>FFDFD3C0</v>
      </c>
      <c r="D925" t="s">
        <v>113</v>
      </c>
      <c r="E925">
        <v>7</v>
      </c>
      <c r="H925">
        <v>170</v>
      </c>
      <c r="I925" t="s">
        <v>114</v>
      </c>
      <c r="J925" t="s">
        <v>115</v>
      </c>
      <c r="K925">
        <v>0</v>
      </c>
      <c r="L925">
        <v>3</v>
      </c>
      <c r="M925">
        <v>0</v>
      </c>
      <c r="N925">
        <v>2</v>
      </c>
      <c r="O925">
        <v>1</v>
      </c>
      <c r="P925">
        <v>0</v>
      </c>
      <c r="Q925">
        <v>0</v>
      </c>
      <c r="S925" t="str">
        <f>"13:58:11.352"</f>
        <v>13:58:11.352</v>
      </c>
      <c r="T925" t="str">
        <f>"13:58:10.852"</f>
        <v>13:58:10.852</v>
      </c>
      <c r="U925" t="str">
        <f t="shared" si="46"/>
        <v>A92BC1</v>
      </c>
      <c r="V925">
        <v>0</v>
      </c>
      <c r="W925">
        <v>0</v>
      </c>
      <c r="X925">
        <v>2</v>
      </c>
      <c r="Z925">
        <v>0</v>
      </c>
      <c r="AA925">
        <v>9</v>
      </c>
      <c r="AB925">
        <v>3</v>
      </c>
      <c r="AC925">
        <v>0</v>
      </c>
      <c r="AD925">
        <v>10</v>
      </c>
      <c r="AE925">
        <v>0</v>
      </c>
      <c r="AF925">
        <v>3</v>
      </c>
      <c r="AG925">
        <v>2</v>
      </c>
      <c r="AH925">
        <v>0</v>
      </c>
      <c r="AI925" t="s">
        <v>1026</v>
      </c>
      <c r="AJ925">
        <v>45.857213000000002</v>
      </c>
      <c r="AK925" t="s">
        <v>1027</v>
      </c>
      <c r="AL925">
        <v>-89.157336000000001</v>
      </c>
      <c r="AM925">
        <v>100</v>
      </c>
      <c r="AN925">
        <v>15100</v>
      </c>
      <c r="AO925" t="s">
        <v>118</v>
      </c>
      <c r="AP925">
        <v>145</v>
      </c>
      <c r="AQ925">
        <v>118</v>
      </c>
      <c r="AR925">
        <v>1024</v>
      </c>
      <c r="AZ925">
        <v>1200</v>
      </c>
      <c r="BA925">
        <v>1</v>
      </c>
      <c r="BB925" t="str">
        <f t="shared" si="45"/>
        <v xml:space="preserve">N690LS  </v>
      </c>
      <c r="BC925">
        <v>1</v>
      </c>
      <c r="BE925">
        <v>0</v>
      </c>
      <c r="BF925">
        <v>0</v>
      </c>
      <c r="BG925">
        <v>0</v>
      </c>
      <c r="BH925">
        <v>15675</v>
      </c>
      <c r="BI925">
        <v>1</v>
      </c>
      <c r="BJ925">
        <v>1</v>
      </c>
      <c r="BK925">
        <v>1</v>
      </c>
      <c r="BL925">
        <v>0</v>
      </c>
      <c r="BO925">
        <v>0</v>
      </c>
      <c r="BP925">
        <v>0</v>
      </c>
      <c r="BW925" t="str">
        <f>"13:58:11.356"</f>
        <v>13:58:11.356</v>
      </c>
      <c r="CJ925">
        <v>0</v>
      </c>
      <c r="CK925">
        <v>2</v>
      </c>
      <c r="CL925">
        <v>0</v>
      </c>
      <c r="CM925">
        <v>2</v>
      </c>
      <c r="CN925">
        <v>0</v>
      </c>
      <c r="CO925">
        <v>6</v>
      </c>
      <c r="CP925" t="s">
        <v>119</v>
      </c>
      <c r="CQ925">
        <v>209</v>
      </c>
      <c r="CR925">
        <v>3</v>
      </c>
      <c r="CW925">
        <v>7252921</v>
      </c>
      <c r="CY925">
        <v>1</v>
      </c>
      <c r="CZ925">
        <v>0</v>
      </c>
      <c r="DA925">
        <v>0</v>
      </c>
      <c r="DB925">
        <v>0</v>
      </c>
      <c r="DC925">
        <v>0</v>
      </c>
      <c r="DD925">
        <v>1</v>
      </c>
      <c r="DE925">
        <v>0</v>
      </c>
      <c r="DF925">
        <v>0</v>
      </c>
      <c r="DG925">
        <v>0</v>
      </c>
      <c r="DH925">
        <v>0</v>
      </c>
      <c r="DI925">
        <v>0</v>
      </c>
    </row>
    <row r="926" spans="1:113" x14ac:dyDescent="0.3">
      <c r="A926" t="str">
        <f>"09/28/2021 13:58:11.636"</f>
        <v>09/28/2021 13:58:11.636</v>
      </c>
      <c r="C926" t="str">
        <f t="shared" si="44"/>
        <v>FFDFD3C0</v>
      </c>
      <c r="D926" t="s">
        <v>120</v>
      </c>
      <c r="E926">
        <v>12</v>
      </c>
      <c r="F926">
        <v>1012</v>
      </c>
      <c r="G926" t="s">
        <v>114</v>
      </c>
      <c r="J926" t="s">
        <v>121</v>
      </c>
      <c r="K926">
        <v>0</v>
      </c>
      <c r="L926">
        <v>3</v>
      </c>
      <c r="M926">
        <v>0</v>
      </c>
      <c r="N926">
        <v>2</v>
      </c>
      <c r="O926">
        <v>1</v>
      </c>
      <c r="P926">
        <v>0</v>
      </c>
      <c r="Q926">
        <v>0</v>
      </c>
      <c r="S926" t="str">
        <f>"13:58:11.352"</f>
        <v>13:58:11.352</v>
      </c>
      <c r="T926" t="str">
        <f>"13:58:10.852"</f>
        <v>13:58:10.852</v>
      </c>
      <c r="U926" t="str">
        <f t="shared" si="46"/>
        <v>A92BC1</v>
      </c>
      <c r="V926">
        <v>0</v>
      </c>
      <c r="W926">
        <v>0</v>
      </c>
      <c r="X926">
        <v>2</v>
      </c>
      <c r="Z926">
        <v>0</v>
      </c>
      <c r="AA926">
        <v>9</v>
      </c>
      <c r="AB926">
        <v>3</v>
      </c>
      <c r="AC926">
        <v>0</v>
      </c>
      <c r="AD926">
        <v>10</v>
      </c>
      <c r="AE926">
        <v>0</v>
      </c>
      <c r="AF926">
        <v>3</v>
      </c>
      <c r="AG926">
        <v>2</v>
      </c>
      <c r="AH926">
        <v>0</v>
      </c>
      <c r="AI926" t="s">
        <v>1026</v>
      </c>
      <c r="AJ926">
        <v>45.857213000000002</v>
      </c>
      <c r="AK926" t="s">
        <v>1027</v>
      </c>
      <c r="AL926">
        <v>-89.157336000000001</v>
      </c>
      <c r="AM926">
        <v>100</v>
      </c>
      <c r="AN926">
        <v>15100</v>
      </c>
      <c r="AO926" t="s">
        <v>118</v>
      </c>
      <c r="AP926">
        <v>145</v>
      </c>
      <c r="AQ926">
        <v>118</v>
      </c>
      <c r="AR926">
        <v>1024</v>
      </c>
      <c r="AZ926">
        <v>1200</v>
      </c>
      <c r="BA926">
        <v>1</v>
      </c>
      <c r="BB926" t="str">
        <f t="shared" si="45"/>
        <v xml:space="preserve">N690LS  </v>
      </c>
      <c r="BC926">
        <v>1</v>
      </c>
      <c r="BE926">
        <v>0</v>
      </c>
      <c r="BF926">
        <v>0</v>
      </c>
      <c r="BG926">
        <v>0</v>
      </c>
      <c r="BH926">
        <v>15675</v>
      </c>
      <c r="BI926">
        <v>1</v>
      </c>
      <c r="BJ926">
        <v>1</v>
      </c>
      <c r="BK926">
        <v>1</v>
      </c>
      <c r="BL926">
        <v>0</v>
      </c>
      <c r="BO926">
        <v>0</v>
      </c>
      <c r="BP926">
        <v>0</v>
      </c>
      <c r="BW926" t="str">
        <f>"13:58:11.356"</f>
        <v>13:58:11.356</v>
      </c>
      <c r="CJ926">
        <v>0</v>
      </c>
      <c r="CK926">
        <v>2</v>
      </c>
      <c r="CL926">
        <v>0</v>
      </c>
      <c r="CM926">
        <v>2</v>
      </c>
      <c r="CN926">
        <v>0</v>
      </c>
      <c r="CO926">
        <v>6</v>
      </c>
      <c r="CP926" t="s">
        <v>119</v>
      </c>
      <c r="CQ926">
        <v>209</v>
      </c>
      <c r="CR926">
        <v>3</v>
      </c>
      <c r="CW926">
        <v>7252921</v>
      </c>
      <c r="CY926">
        <v>1</v>
      </c>
      <c r="CZ926">
        <v>0</v>
      </c>
      <c r="DA926">
        <v>1</v>
      </c>
      <c r="DB926">
        <v>0</v>
      </c>
      <c r="DC926">
        <v>0</v>
      </c>
      <c r="DD926">
        <v>1</v>
      </c>
      <c r="DE926">
        <v>0</v>
      </c>
      <c r="DF926">
        <v>0</v>
      </c>
      <c r="DG926">
        <v>0</v>
      </c>
      <c r="DH926">
        <v>0</v>
      </c>
      <c r="DI926">
        <v>0</v>
      </c>
    </row>
    <row r="927" spans="1:113" x14ac:dyDescent="0.3">
      <c r="A927" t="str">
        <f>"09/28/2021 13:58:12.714"</f>
        <v>09/28/2021 13:58:12.714</v>
      </c>
      <c r="C927" t="str">
        <f t="shared" si="44"/>
        <v>FFDFD3C0</v>
      </c>
      <c r="D927" t="s">
        <v>113</v>
      </c>
      <c r="E927">
        <v>7</v>
      </c>
      <c r="H927">
        <v>170</v>
      </c>
      <c r="I927" t="s">
        <v>114</v>
      </c>
      <c r="J927" t="s">
        <v>115</v>
      </c>
      <c r="K927">
        <v>0</v>
      </c>
      <c r="L927">
        <v>3</v>
      </c>
      <c r="M927">
        <v>0</v>
      </c>
      <c r="N927">
        <v>2</v>
      </c>
      <c r="O927">
        <v>1</v>
      </c>
      <c r="P927">
        <v>0</v>
      </c>
      <c r="Q927">
        <v>0</v>
      </c>
      <c r="S927" t="str">
        <f>"13:58:12.516"</f>
        <v>13:58:12.516</v>
      </c>
      <c r="T927" t="str">
        <f>"13:58:12.016"</f>
        <v>13:58:12.016</v>
      </c>
      <c r="U927" t="str">
        <f t="shared" si="46"/>
        <v>A92BC1</v>
      </c>
      <c r="V927">
        <v>0</v>
      </c>
      <c r="W927">
        <v>0</v>
      </c>
      <c r="X927">
        <v>2</v>
      </c>
      <c r="Z927">
        <v>0</v>
      </c>
      <c r="AA927">
        <v>9</v>
      </c>
      <c r="AB927">
        <v>3</v>
      </c>
      <c r="AC927">
        <v>0</v>
      </c>
      <c r="AD927">
        <v>10</v>
      </c>
      <c r="AE927">
        <v>0</v>
      </c>
      <c r="AF927">
        <v>3</v>
      </c>
      <c r="AG927">
        <v>2</v>
      </c>
      <c r="AH927">
        <v>0</v>
      </c>
      <c r="AI927" t="s">
        <v>1028</v>
      </c>
      <c r="AJ927">
        <v>45.857813</v>
      </c>
      <c r="AK927" t="s">
        <v>1029</v>
      </c>
      <c r="AL927">
        <v>-89.156240999999994</v>
      </c>
      <c r="AM927">
        <v>100</v>
      </c>
      <c r="AN927">
        <v>15200</v>
      </c>
      <c r="AO927" t="s">
        <v>118</v>
      </c>
      <c r="AP927">
        <v>145</v>
      </c>
      <c r="AQ927">
        <v>118</v>
      </c>
      <c r="AR927">
        <v>1088</v>
      </c>
      <c r="AZ927">
        <v>1200</v>
      </c>
      <c r="BA927">
        <v>1</v>
      </c>
      <c r="BB927" t="str">
        <f t="shared" si="45"/>
        <v xml:space="preserve">N690LS  </v>
      </c>
      <c r="BC927">
        <v>1</v>
      </c>
      <c r="BE927">
        <v>0</v>
      </c>
      <c r="BF927">
        <v>0</v>
      </c>
      <c r="BG927">
        <v>0</v>
      </c>
      <c r="BH927">
        <v>15675</v>
      </c>
      <c r="BI927">
        <v>1</v>
      </c>
      <c r="BJ927">
        <v>1</v>
      </c>
      <c r="BK927">
        <v>1</v>
      </c>
      <c r="BL927">
        <v>0</v>
      </c>
      <c r="BO927">
        <v>0</v>
      </c>
      <c r="BP927">
        <v>0</v>
      </c>
      <c r="BW927" t="str">
        <f>"13:58:12.521"</f>
        <v>13:58:12.521</v>
      </c>
      <c r="CJ927">
        <v>0</v>
      </c>
      <c r="CK927">
        <v>2</v>
      </c>
      <c r="CL927">
        <v>0</v>
      </c>
      <c r="CM927">
        <v>2</v>
      </c>
      <c r="CN927">
        <v>0</v>
      </c>
      <c r="CO927">
        <v>7</v>
      </c>
      <c r="CP927" t="s">
        <v>119</v>
      </c>
      <c r="CQ927">
        <v>197</v>
      </c>
      <c r="CR927">
        <v>0</v>
      </c>
      <c r="CW927">
        <v>16072972</v>
      </c>
      <c r="CY927">
        <v>1</v>
      </c>
      <c r="CZ927">
        <v>0</v>
      </c>
      <c r="DA927">
        <v>0</v>
      </c>
      <c r="DB927">
        <v>0</v>
      </c>
      <c r="DC927">
        <v>0</v>
      </c>
      <c r="DD927">
        <v>1</v>
      </c>
      <c r="DE927">
        <v>0</v>
      </c>
      <c r="DF927">
        <v>0</v>
      </c>
      <c r="DG927">
        <v>0</v>
      </c>
      <c r="DH927">
        <v>0</v>
      </c>
      <c r="DI927">
        <v>0</v>
      </c>
    </row>
    <row r="928" spans="1:113" x14ac:dyDescent="0.3">
      <c r="A928" t="str">
        <f>"09/28/2021 13:58:12.761"</f>
        <v>09/28/2021 13:58:12.761</v>
      </c>
      <c r="C928" t="str">
        <f t="shared" si="44"/>
        <v>FFDFD3C0</v>
      </c>
      <c r="D928" t="s">
        <v>120</v>
      </c>
      <c r="E928">
        <v>12</v>
      </c>
      <c r="F928">
        <v>1012</v>
      </c>
      <c r="G928" t="s">
        <v>114</v>
      </c>
      <c r="J928" t="s">
        <v>121</v>
      </c>
      <c r="K928">
        <v>0</v>
      </c>
      <c r="L928">
        <v>3</v>
      </c>
      <c r="M928">
        <v>0</v>
      </c>
      <c r="N928">
        <v>2</v>
      </c>
      <c r="O928">
        <v>1</v>
      </c>
      <c r="P928">
        <v>0</v>
      </c>
      <c r="Q928">
        <v>0</v>
      </c>
      <c r="S928" t="str">
        <f>"13:58:12.516"</f>
        <v>13:58:12.516</v>
      </c>
      <c r="T928" t="str">
        <f>"13:58:12.016"</f>
        <v>13:58:12.016</v>
      </c>
      <c r="U928" t="str">
        <f t="shared" si="46"/>
        <v>A92BC1</v>
      </c>
      <c r="V928">
        <v>0</v>
      </c>
      <c r="W928">
        <v>0</v>
      </c>
      <c r="X928">
        <v>2</v>
      </c>
      <c r="Z928">
        <v>0</v>
      </c>
      <c r="AA928">
        <v>9</v>
      </c>
      <c r="AB928">
        <v>3</v>
      </c>
      <c r="AC928">
        <v>0</v>
      </c>
      <c r="AD928">
        <v>10</v>
      </c>
      <c r="AE928">
        <v>0</v>
      </c>
      <c r="AF928">
        <v>3</v>
      </c>
      <c r="AG928">
        <v>2</v>
      </c>
      <c r="AH928">
        <v>0</v>
      </c>
      <c r="AI928" t="s">
        <v>1028</v>
      </c>
      <c r="AJ928">
        <v>45.857813</v>
      </c>
      <c r="AK928" t="s">
        <v>1029</v>
      </c>
      <c r="AL928">
        <v>-89.156240999999994</v>
      </c>
      <c r="AM928">
        <v>100</v>
      </c>
      <c r="AN928">
        <v>15200</v>
      </c>
      <c r="AO928" t="s">
        <v>118</v>
      </c>
      <c r="AP928">
        <v>145</v>
      </c>
      <c r="AQ928">
        <v>118</v>
      </c>
      <c r="AR928">
        <v>1088</v>
      </c>
      <c r="AZ928">
        <v>1200</v>
      </c>
      <c r="BA928">
        <v>1</v>
      </c>
      <c r="BB928" t="str">
        <f t="shared" si="45"/>
        <v xml:space="preserve">N690LS  </v>
      </c>
      <c r="BC928">
        <v>1</v>
      </c>
      <c r="BE928">
        <v>0</v>
      </c>
      <c r="BF928">
        <v>0</v>
      </c>
      <c r="BG928">
        <v>0</v>
      </c>
      <c r="BH928">
        <v>15675</v>
      </c>
      <c r="BI928">
        <v>1</v>
      </c>
      <c r="BJ928">
        <v>1</v>
      </c>
      <c r="BK928">
        <v>1</v>
      </c>
      <c r="BL928">
        <v>0</v>
      </c>
      <c r="BO928">
        <v>0</v>
      </c>
      <c r="BP928">
        <v>0</v>
      </c>
      <c r="BW928" t="str">
        <f>"13:58:12.521"</f>
        <v>13:58:12.521</v>
      </c>
      <c r="CJ928">
        <v>0</v>
      </c>
      <c r="CK928">
        <v>2</v>
      </c>
      <c r="CL928">
        <v>0</v>
      </c>
      <c r="CM928">
        <v>2</v>
      </c>
      <c r="CN928">
        <v>0</v>
      </c>
      <c r="CO928">
        <v>7</v>
      </c>
      <c r="CP928" t="s">
        <v>119</v>
      </c>
      <c r="CQ928">
        <v>197</v>
      </c>
      <c r="CR928">
        <v>0</v>
      </c>
      <c r="CW928">
        <v>16072972</v>
      </c>
      <c r="CY928">
        <v>1</v>
      </c>
      <c r="CZ928">
        <v>0</v>
      </c>
      <c r="DA928">
        <v>1</v>
      </c>
      <c r="DB928">
        <v>0</v>
      </c>
      <c r="DC928">
        <v>0</v>
      </c>
      <c r="DD928">
        <v>1</v>
      </c>
      <c r="DE928">
        <v>0</v>
      </c>
      <c r="DF928">
        <v>0</v>
      </c>
      <c r="DG928">
        <v>0</v>
      </c>
      <c r="DH928">
        <v>0</v>
      </c>
      <c r="DI928">
        <v>0</v>
      </c>
    </row>
    <row r="929" spans="1:113" x14ac:dyDescent="0.3">
      <c r="A929" t="str">
        <f>"09/28/2021 13:58:13.636"</f>
        <v>09/28/2021 13:58:13.636</v>
      </c>
      <c r="C929" t="str">
        <f t="shared" si="44"/>
        <v>FFDFD3C0</v>
      </c>
      <c r="D929" t="s">
        <v>113</v>
      </c>
      <c r="E929">
        <v>7</v>
      </c>
      <c r="H929">
        <v>170</v>
      </c>
      <c r="I929" t="s">
        <v>114</v>
      </c>
      <c r="J929" t="s">
        <v>115</v>
      </c>
      <c r="K929">
        <v>0</v>
      </c>
      <c r="L929">
        <v>3</v>
      </c>
      <c r="M929">
        <v>0</v>
      </c>
      <c r="N929">
        <v>2</v>
      </c>
      <c r="O929">
        <v>1</v>
      </c>
      <c r="P929">
        <v>0</v>
      </c>
      <c r="Q929">
        <v>0</v>
      </c>
      <c r="S929" t="str">
        <f>"13:58:13.461"</f>
        <v>13:58:13.461</v>
      </c>
      <c r="T929" t="str">
        <f>"13:58:12.961"</f>
        <v>13:58:12.961</v>
      </c>
      <c r="U929" t="str">
        <f t="shared" si="46"/>
        <v>A92BC1</v>
      </c>
      <c r="V929">
        <v>0</v>
      </c>
      <c r="W929">
        <v>0</v>
      </c>
      <c r="X929">
        <v>2</v>
      </c>
      <c r="Z929">
        <v>0</v>
      </c>
      <c r="AA929">
        <v>9</v>
      </c>
      <c r="AB929">
        <v>3</v>
      </c>
      <c r="AC929">
        <v>0</v>
      </c>
      <c r="AD929">
        <v>10</v>
      </c>
      <c r="AE929">
        <v>0</v>
      </c>
      <c r="AF929">
        <v>3</v>
      </c>
      <c r="AG929">
        <v>2</v>
      </c>
      <c r="AH929">
        <v>0</v>
      </c>
      <c r="AI929" t="s">
        <v>1030</v>
      </c>
      <c r="AJ929">
        <v>45.858328</v>
      </c>
      <c r="AK929" t="s">
        <v>1031</v>
      </c>
      <c r="AL929">
        <v>-89.155297000000004</v>
      </c>
      <c r="AM929">
        <v>100</v>
      </c>
      <c r="AN929">
        <v>15200</v>
      </c>
      <c r="AO929" t="s">
        <v>118</v>
      </c>
      <c r="AP929">
        <v>146</v>
      </c>
      <c r="AQ929">
        <v>118</v>
      </c>
      <c r="AR929">
        <v>1088</v>
      </c>
      <c r="AZ929">
        <v>1200</v>
      </c>
      <c r="BA929">
        <v>1</v>
      </c>
      <c r="BB929" t="str">
        <f t="shared" si="45"/>
        <v xml:space="preserve">N690LS  </v>
      </c>
      <c r="BC929">
        <v>1</v>
      </c>
      <c r="BE929">
        <v>0</v>
      </c>
      <c r="BF929">
        <v>0</v>
      </c>
      <c r="BG929">
        <v>0</v>
      </c>
      <c r="BH929">
        <v>15700</v>
      </c>
      <c r="BI929">
        <v>1</v>
      </c>
      <c r="BJ929">
        <v>1</v>
      </c>
      <c r="BK929">
        <v>1</v>
      </c>
      <c r="BL929">
        <v>0</v>
      </c>
      <c r="BO929">
        <v>0</v>
      </c>
      <c r="BP929">
        <v>0</v>
      </c>
      <c r="BW929" t="str">
        <f>"13:58:13.463"</f>
        <v>13:58:13.463</v>
      </c>
      <c r="CJ929">
        <v>0</v>
      </c>
      <c r="CK929">
        <v>2</v>
      </c>
      <c r="CL929">
        <v>0</v>
      </c>
      <c r="CM929">
        <v>2</v>
      </c>
      <c r="CN929">
        <v>0</v>
      </c>
      <c r="CO929">
        <v>7</v>
      </c>
      <c r="CP929" t="s">
        <v>119</v>
      </c>
      <c r="CQ929">
        <v>209</v>
      </c>
      <c r="CR929">
        <v>3</v>
      </c>
      <c r="CW929">
        <v>7253613</v>
      </c>
      <c r="CY929">
        <v>1</v>
      </c>
      <c r="CZ929">
        <v>0</v>
      </c>
      <c r="DA929">
        <v>0</v>
      </c>
      <c r="DB929">
        <v>0</v>
      </c>
      <c r="DC929">
        <v>0</v>
      </c>
      <c r="DD929">
        <v>1</v>
      </c>
      <c r="DE929">
        <v>0</v>
      </c>
      <c r="DF929">
        <v>0</v>
      </c>
      <c r="DG929">
        <v>0</v>
      </c>
      <c r="DH929">
        <v>0</v>
      </c>
      <c r="DI929">
        <v>0</v>
      </c>
    </row>
    <row r="930" spans="1:113" x14ac:dyDescent="0.3">
      <c r="A930" t="str">
        <f>"09/28/2021 13:58:13.636"</f>
        <v>09/28/2021 13:58:13.636</v>
      </c>
      <c r="C930" t="str">
        <f t="shared" si="44"/>
        <v>FFDFD3C0</v>
      </c>
      <c r="D930" t="s">
        <v>120</v>
      </c>
      <c r="E930">
        <v>12</v>
      </c>
      <c r="F930">
        <v>1012</v>
      </c>
      <c r="G930" t="s">
        <v>114</v>
      </c>
      <c r="J930" t="s">
        <v>121</v>
      </c>
      <c r="K930">
        <v>0</v>
      </c>
      <c r="L930">
        <v>3</v>
      </c>
      <c r="M930">
        <v>0</v>
      </c>
      <c r="N930">
        <v>2</v>
      </c>
      <c r="O930">
        <v>1</v>
      </c>
      <c r="P930">
        <v>0</v>
      </c>
      <c r="Q930">
        <v>0</v>
      </c>
      <c r="S930" t="str">
        <f>"13:58:13.461"</f>
        <v>13:58:13.461</v>
      </c>
      <c r="T930" t="str">
        <f>"13:58:12.961"</f>
        <v>13:58:12.961</v>
      </c>
      <c r="U930" t="str">
        <f t="shared" si="46"/>
        <v>A92BC1</v>
      </c>
      <c r="V930">
        <v>0</v>
      </c>
      <c r="W930">
        <v>0</v>
      </c>
      <c r="X930">
        <v>2</v>
      </c>
      <c r="Z930">
        <v>0</v>
      </c>
      <c r="AA930">
        <v>9</v>
      </c>
      <c r="AB930">
        <v>3</v>
      </c>
      <c r="AC930">
        <v>0</v>
      </c>
      <c r="AD930">
        <v>10</v>
      </c>
      <c r="AE930">
        <v>0</v>
      </c>
      <c r="AF930">
        <v>3</v>
      </c>
      <c r="AG930">
        <v>2</v>
      </c>
      <c r="AH930">
        <v>0</v>
      </c>
      <c r="AI930" t="s">
        <v>1030</v>
      </c>
      <c r="AJ930">
        <v>45.858328</v>
      </c>
      <c r="AK930" t="s">
        <v>1031</v>
      </c>
      <c r="AL930">
        <v>-89.155297000000004</v>
      </c>
      <c r="AM930">
        <v>100</v>
      </c>
      <c r="AN930">
        <v>15200</v>
      </c>
      <c r="AO930" t="s">
        <v>118</v>
      </c>
      <c r="AP930">
        <v>146</v>
      </c>
      <c r="AQ930">
        <v>118</v>
      </c>
      <c r="AR930">
        <v>1088</v>
      </c>
      <c r="AZ930">
        <v>1200</v>
      </c>
      <c r="BA930">
        <v>1</v>
      </c>
      <c r="BB930" t="str">
        <f t="shared" si="45"/>
        <v xml:space="preserve">N690LS  </v>
      </c>
      <c r="BC930">
        <v>1</v>
      </c>
      <c r="BE930">
        <v>0</v>
      </c>
      <c r="BF930">
        <v>0</v>
      </c>
      <c r="BG930">
        <v>0</v>
      </c>
      <c r="BH930">
        <v>15700</v>
      </c>
      <c r="BI930">
        <v>1</v>
      </c>
      <c r="BJ930">
        <v>1</v>
      </c>
      <c r="BK930">
        <v>1</v>
      </c>
      <c r="BL930">
        <v>0</v>
      </c>
      <c r="BO930">
        <v>0</v>
      </c>
      <c r="BP930">
        <v>0</v>
      </c>
      <c r="BW930" t="str">
        <f>"13:58:13.463"</f>
        <v>13:58:13.463</v>
      </c>
      <c r="CJ930">
        <v>0</v>
      </c>
      <c r="CK930">
        <v>2</v>
      </c>
      <c r="CL930">
        <v>0</v>
      </c>
      <c r="CM930">
        <v>2</v>
      </c>
      <c r="CN930">
        <v>0</v>
      </c>
      <c r="CO930">
        <v>7</v>
      </c>
      <c r="CP930" t="s">
        <v>119</v>
      </c>
      <c r="CQ930">
        <v>209</v>
      </c>
      <c r="CR930">
        <v>3</v>
      </c>
      <c r="CW930">
        <v>7253613</v>
      </c>
      <c r="CY930">
        <v>1</v>
      </c>
      <c r="CZ930">
        <v>0</v>
      </c>
      <c r="DA930">
        <v>1</v>
      </c>
      <c r="DB930">
        <v>0</v>
      </c>
      <c r="DC930">
        <v>0</v>
      </c>
      <c r="DD930">
        <v>1</v>
      </c>
      <c r="DE930">
        <v>0</v>
      </c>
      <c r="DF930">
        <v>0</v>
      </c>
      <c r="DG930">
        <v>0</v>
      </c>
      <c r="DH930">
        <v>0</v>
      </c>
      <c r="DI930">
        <v>0</v>
      </c>
    </row>
    <row r="931" spans="1:113" x14ac:dyDescent="0.3">
      <c r="A931" t="str">
        <f>"09/28/2021 13:58:14.809"</f>
        <v>09/28/2021 13:58:14.809</v>
      </c>
      <c r="C931" t="str">
        <f t="shared" si="44"/>
        <v>FFDFD3C0</v>
      </c>
      <c r="D931" t="s">
        <v>113</v>
      </c>
      <c r="E931">
        <v>7</v>
      </c>
      <c r="H931">
        <v>170</v>
      </c>
      <c r="I931" t="s">
        <v>114</v>
      </c>
      <c r="J931" t="s">
        <v>115</v>
      </c>
      <c r="K931">
        <v>0</v>
      </c>
      <c r="L931">
        <v>3</v>
      </c>
      <c r="M931">
        <v>0</v>
      </c>
      <c r="N931">
        <v>2</v>
      </c>
      <c r="O931">
        <v>1</v>
      </c>
      <c r="P931">
        <v>0</v>
      </c>
      <c r="Q931">
        <v>0</v>
      </c>
      <c r="S931" t="str">
        <f>"13:58:14.539"</f>
        <v>13:58:14.539</v>
      </c>
      <c r="T931" t="str">
        <f>"13:58:14.039"</f>
        <v>13:58:14.039</v>
      </c>
      <c r="U931" t="str">
        <f t="shared" si="46"/>
        <v>A92BC1</v>
      </c>
      <c r="V931">
        <v>0</v>
      </c>
      <c r="W931">
        <v>0</v>
      </c>
      <c r="X931">
        <v>2</v>
      </c>
      <c r="Z931">
        <v>0</v>
      </c>
      <c r="AA931">
        <v>9</v>
      </c>
      <c r="AB931">
        <v>3</v>
      </c>
      <c r="AC931">
        <v>0</v>
      </c>
      <c r="AD931">
        <v>10</v>
      </c>
      <c r="AE931">
        <v>0</v>
      </c>
      <c r="AF931">
        <v>3</v>
      </c>
      <c r="AG931">
        <v>2</v>
      </c>
      <c r="AH931">
        <v>0</v>
      </c>
      <c r="AI931" t="s">
        <v>1032</v>
      </c>
      <c r="AJ931">
        <v>45.858950999999998</v>
      </c>
      <c r="AK931" t="s">
        <v>1033</v>
      </c>
      <c r="AL931">
        <v>-89.154246000000001</v>
      </c>
      <c r="AM931">
        <v>100</v>
      </c>
      <c r="AN931">
        <v>15200</v>
      </c>
      <c r="AO931" t="s">
        <v>118</v>
      </c>
      <c r="AP931">
        <v>146</v>
      </c>
      <c r="AQ931">
        <v>118</v>
      </c>
      <c r="AR931">
        <v>1088</v>
      </c>
      <c r="AZ931">
        <v>1200</v>
      </c>
      <c r="BA931">
        <v>1</v>
      </c>
      <c r="BB931" t="str">
        <f t="shared" si="45"/>
        <v xml:space="preserve">N690LS  </v>
      </c>
      <c r="BC931">
        <v>1</v>
      </c>
      <c r="BE931">
        <v>0</v>
      </c>
      <c r="BF931">
        <v>0</v>
      </c>
      <c r="BG931">
        <v>0</v>
      </c>
      <c r="BH931">
        <v>15725</v>
      </c>
      <c r="BI931">
        <v>1</v>
      </c>
      <c r="BJ931">
        <v>1</v>
      </c>
      <c r="BK931">
        <v>1</v>
      </c>
      <c r="BL931">
        <v>0</v>
      </c>
      <c r="BO931">
        <v>0</v>
      </c>
      <c r="BP931">
        <v>0</v>
      </c>
      <c r="BW931" t="str">
        <f>"13:58:14.546"</f>
        <v>13:58:14.546</v>
      </c>
      <c r="CJ931">
        <v>0</v>
      </c>
      <c r="CK931">
        <v>2</v>
      </c>
      <c r="CL931">
        <v>0</v>
      </c>
      <c r="CM931">
        <v>2</v>
      </c>
      <c r="CN931">
        <v>0</v>
      </c>
      <c r="CO931">
        <v>7</v>
      </c>
      <c r="CP931" t="s">
        <v>119</v>
      </c>
      <c r="CQ931">
        <v>209</v>
      </c>
      <c r="CR931">
        <v>3</v>
      </c>
      <c r="CW931">
        <v>7253941</v>
      </c>
      <c r="CY931">
        <v>1</v>
      </c>
      <c r="CZ931">
        <v>0</v>
      </c>
      <c r="DA931">
        <v>0</v>
      </c>
      <c r="DB931">
        <v>0</v>
      </c>
      <c r="DC931">
        <v>0</v>
      </c>
      <c r="DD931">
        <v>1</v>
      </c>
      <c r="DE931">
        <v>0</v>
      </c>
      <c r="DF931">
        <v>0</v>
      </c>
      <c r="DG931">
        <v>0</v>
      </c>
      <c r="DH931">
        <v>0</v>
      </c>
      <c r="DI931">
        <v>0</v>
      </c>
    </row>
    <row r="932" spans="1:113" x14ac:dyDescent="0.3">
      <c r="A932" t="str">
        <f>"09/28/2021 13:58:14.809"</f>
        <v>09/28/2021 13:58:14.809</v>
      </c>
      <c r="C932" t="str">
        <f t="shared" si="44"/>
        <v>FFDFD3C0</v>
      </c>
      <c r="D932" t="s">
        <v>120</v>
      </c>
      <c r="E932">
        <v>12</v>
      </c>
      <c r="F932">
        <v>1012</v>
      </c>
      <c r="G932" t="s">
        <v>114</v>
      </c>
      <c r="J932" t="s">
        <v>121</v>
      </c>
      <c r="K932">
        <v>0</v>
      </c>
      <c r="L932">
        <v>3</v>
      </c>
      <c r="M932">
        <v>0</v>
      </c>
      <c r="N932">
        <v>2</v>
      </c>
      <c r="O932">
        <v>1</v>
      </c>
      <c r="P932">
        <v>0</v>
      </c>
      <c r="Q932">
        <v>0</v>
      </c>
      <c r="S932" t="str">
        <f>"13:58:14.539"</f>
        <v>13:58:14.539</v>
      </c>
      <c r="T932" t="str">
        <f>"13:58:14.039"</f>
        <v>13:58:14.039</v>
      </c>
      <c r="U932" t="str">
        <f t="shared" si="46"/>
        <v>A92BC1</v>
      </c>
      <c r="V932">
        <v>0</v>
      </c>
      <c r="W932">
        <v>0</v>
      </c>
      <c r="X932">
        <v>2</v>
      </c>
      <c r="Z932">
        <v>0</v>
      </c>
      <c r="AA932">
        <v>9</v>
      </c>
      <c r="AB932">
        <v>3</v>
      </c>
      <c r="AC932">
        <v>0</v>
      </c>
      <c r="AD932">
        <v>10</v>
      </c>
      <c r="AE932">
        <v>0</v>
      </c>
      <c r="AF932">
        <v>3</v>
      </c>
      <c r="AG932">
        <v>2</v>
      </c>
      <c r="AH932">
        <v>0</v>
      </c>
      <c r="AI932" t="s">
        <v>1032</v>
      </c>
      <c r="AJ932">
        <v>45.858950999999998</v>
      </c>
      <c r="AK932" t="s">
        <v>1033</v>
      </c>
      <c r="AL932">
        <v>-89.154246000000001</v>
      </c>
      <c r="AM932">
        <v>100</v>
      </c>
      <c r="AN932">
        <v>15200</v>
      </c>
      <c r="AO932" t="s">
        <v>118</v>
      </c>
      <c r="AP932">
        <v>146</v>
      </c>
      <c r="AQ932">
        <v>118</v>
      </c>
      <c r="AR932">
        <v>1088</v>
      </c>
      <c r="AZ932">
        <v>1200</v>
      </c>
      <c r="BA932">
        <v>1</v>
      </c>
      <c r="BB932" t="str">
        <f t="shared" si="45"/>
        <v xml:space="preserve">N690LS  </v>
      </c>
      <c r="BC932">
        <v>1</v>
      </c>
      <c r="BE932">
        <v>0</v>
      </c>
      <c r="BF932">
        <v>0</v>
      </c>
      <c r="BG932">
        <v>0</v>
      </c>
      <c r="BH932">
        <v>15725</v>
      </c>
      <c r="BI932">
        <v>1</v>
      </c>
      <c r="BJ932">
        <v>1</v>
      </c>
      <c r="BK932">
        <v>1</v>
      </c>
      <c r="BL932">
        <v>0</v>
      </c>
      <c r="BO932">
        <v>0</v>
      </c>
      <c r="BP932">
        <v>0</v>
      </c>
      <c r="BW932" t="str">
        <f>"13:58:14.546"</f>
        <v>13:58:14.546</v>
      </c>
      <c r="CJ932">
        <v>0</v>
      </c>
      <c r="CK932">
        <v>2</v>
      </c>
      <c r="CL932">
        <v>0</v>
      </c>
      <c r="CM932">
        <v>2</v>
      </c>
      <c r="CN932">
        <v>0</v>
      </c>
      <c r="CO932">
        <v>7</v>
      </c>
      <c r="CP932" t="s">
        <v>119</v>
      </c>
      <c r="CQ932">
        <v>209</v>
      </c>
      <c r="CR932">
        <v>3</v>
      </c>
      <c r="CW932">
        <v>7253941</v>
      </c>
      <c r="CY932">
        <v>1</v>
      </c>
      <c r="CZ932">
        <v>0</v>
      </c>
      <c r="DA932">
        <v>1</v>
      </c>
      <c r="DB932">
        <v>0</v>
      </c>
      <c r="DC932">
        <v>0</v>
      </c>
      <c r="DD932">
        <v>1</v>
      </c>
      <c r="DE932">
        <v>0</v>
      </c>
      <c r="DF932">
        <v>0</v>
      </c>
      <c r="DG932">
        <v>0</v>
      </c>
      <c r="DH932">
        <v>0</v>
      </c>
      <c r="DI932">
        <v>0</v>
      </c>
    </row>
    <row r="933" spans="1:113" x14ac:dyDescent="0.3">
      <c r="A933" t="str">
        <f>"09/28/2021 13:58:15.559"</f>
        <v>09/28/2021 13:58:15.559</v>
      </c>
      <c r="C933" t="str">
        <f t="shared" si="44"/>
        <v>FFDFD3C0</v>
      </c>
      <c r="D933" t="s">
        <v>120</v>
      </c>
      <c r="E933">
        <v>12</v>
      </c>
      <c r="F933">
        <v>1012</v>
      </c>
      <c r="G933" t="s">
        <v>114</v>
      </c>
      <c r="J933" t="s">
        <v>121</v>
      </c>
      <c r="K933">
        <v>0</v>
      </c>
      <c r="L933">
        <v>3</v>
      </c>
      <c r="M933">
        <v>0</v>
      </c>
      <c r="N933">
        <v>2</v>
      </c>
      <c r="O933">
        <v>1</v>
      </c>
      <c r="P933">
        <v>0</v>
      </c>
      <c r="Q933">
        <v>0</v>
      </c>
      <c r="S933" t="str">
        <f>"13:58:15.359"</f>
        <v>13:58:15.359</v>
      </c>
      <c r="T933" t="str">
        <f>"13:58:14.959"</f>
        <v>13:58:14.959</v>
      </c>
      <c r="U933" t="str">
        <f t="shared" si="46"/>
        <v>A92BC1</v>
      </c>
      <c r="V933">
        <v>0</v>
      </c>
      <c r="W933">
        <v>0</v>
      </c>
      <c r="X933">
        <v>2</v>
      </c>
      <c r="Z933">
        <v>0</v>
      </c>
      <c r="AA933">
        <v>9</v>
      </c>
      <c r="AB933">
        <v>3</v>
      </c>
      <c r="AC933">
        <v>0</v>
      </c>
      <c r="AD933">
        <v>10</v>
      </c>
      <c r="AE933">
        <v>0</v>
      </c>
      <c r="AF933">
        <v>3</v>
      </c>
      <c r="AG933">
        <v>2</v>
      </c>
      <c r="AH933">
        <v>0</v>
      </c>
      <c r="AI933" t="s">
        <v>1034</v>
      </c>
      <c r="AJ933">
        <v>45.859400999999998</v>
      </c>
      <c r="AK933" t="s">
        <v>1035</v>
      </c>
      <c r="AL933">
        <v>-89.153452000000001</v>
      </c>
      <c r="AM933">
        <v>100</v>
      </c>
      <c r="AN933">
        <v>15200</v>
      </c>
      <c r="AO933" t="s">
        <v>118</v>
      </c>
      <c r="AP933">
        <v>146</v>
      </c>
      <c r="AQ933">
        <v>118</v>
      </c>
      <c r="AR933">
        <v>1088</v>
      </c>
      <c r="AZ933">
        <v>1200</v>
      </c>
      <c r="BA933">
        <v>1</v>
      </c>
      <c r="BB933" t="str">
        <f t="shared" si="45"/>
        <v xml:space="preserve">N690LS  </v>
      </c>
      <c r="BC933">
        <v>1</v>
      </c>
      <c r="BE933">
        <v>0</v>
      </c>
      <c r="BF933">
        <v>0</v>
      </c>
      <c r="BG933">
        <v>0</v>
      </c>
      <c r="BH933">
        <v>15750</v>
      </c>
      <c r="BI933">
        <v>1</v>
      </c>
      <c r="BJ933">
        <v>1</v>
      </c>
      <c r="BK933">
        <v>1</v>
      </c>
      <c r="BL933">
        <v>0</v>
      </c>
      <c r="BO933">
        <v>0</v>
      </c>
      <c r="BP933">
        <v>0</v>
      </c>
      <c r="BW933" t="str">
        <f>"13:58:15.367"</f>
        <v>13:58:15.367</v>
      </c>
      <c r="CJ933">
        <v>0</v>
      </c>
      <c r="CK933">
        <v>2</v>
      </c>
      <c r="CL933">
        <v>0</v>
      </c>
      <c r="CM933">
        <v>2</v>
      </c>
      <c r="CN933">
        <v>0</v>
      </c>
      <c r="CO933">
        <v>7</v>
      </c>
      <c r="CP933" t="s">
        <v>119</v>
      </c>
      <c r="CQ933">
        <v>209</v>
      </c>
      <c r="CR933">
        <v>3</v>
      </c>
      <c r="CW933">
        <v>7254187</v>
      </c>
      <c r="CY933">
        <v>1</v>
      </c>
      <c r="CZ933">
        <v>0</v>
      </c>
      <c r="DA933">
        <v>0</v>
      </c>
      <c r="DB933">
        <v>0</v>
      </c>
      <c r="DC933">
        <v>0</v>
      </c>
      <c r="DD933">
        <v>1</v>
      </c>
      <c r="DE933">
        <v>0</v>
      </c>
      <c r="DF933">
        <v>0</v>
      </c>
      <c r="DG933">
        <v>0</v>
      </c>
      <c r="DH933">
        <v>0</v>
      </c>
      <c r="DI933">
        <v>0</v>
      </c>
    </row>
    <row r="934" spans="1:113" x14ac:dyDescent="0.3">
      <c r="A934" t="str">
        <f>"09/28/2021 13:58:15.543"</f>
        <v>09/28/2021 13:58:15.543</v>
      </c>
      <c r="C934" t="str">
        <f t="shared" si="44"/>
        <v>FFDFD3C0</v>
      </c>
      <c r="D934" t="s">
        <v>113</v>
      </c>
      <c r="E934">
        <v>7</v>
      </c>
      <c r="H934">
        <v>170</v>
      </c>
      <c r="I934" t="s">
        <v>114</v>
      </c>
      <c r="J934" t="s">
        <v>115</v>
      </c>
      <c r="K934">
        <v>0</v>
      </c>
      <c r="L934">
        <v>3</v>
      </c>
      <c r="M934">
        <v>0</v>
      </c>
      <c r="N934">
        <v>2</v>
      </c>
      <c r="O934">
        <v>1</v>
      </c>
      <c r="P934">
        <v>0</v>
      </c>
      <c r="Q934">
        <v>0</v>
      </c>
      <c r="S934" t="str">
        <f>"13:58:15.359"</f>
        <v>13:58:15.359</v>
      </c>
      <c r="T934" t="str">
        <f>"13:58:14.959"</f>
        <v>13:58:14.959</v>
      </c>
      <c r="U934" t="str">
        <f t="shared" si="46"/>
        <v>A92BC1</v>
      </c>
      <c r="V934">
        <v>0</v>
      </c>
      <c r="W934">
        <v>0</v>
      </c>
      <c r="X934">
        <v>2</v>
      </c>
      <c r="Z934">
        <v>0</v>
      </c>
      <c r="AA934">
        <v>9</v>
      </c>
      <c r="AB934">
        <v>3</v>
      </c>
      <c r="AC934">
        <v>0</v>
      </c>
      <c r="AD934">
        <v>10</v>
      </c>
      <c r="AE934">
        <v>0</v>
      </c>
      <c r="AF934">
        <v>3</v>
      </c>
      <c r="AG934">
        <v>2</v>
      </c>
      <c r="AH934">
        <v>0</v>
      </c>
      <c r="AI934" t="s">
        <v>1034</v>
      </c>
      <c r="AJ934">
        <v>45.859400999999998</v>
      </c>
      <c r="AK934" t="s">
        <v>1035</v>
      </c>
      <c r="AL934">
        <v>-89.153452000000001</v>
      </c>
      <c r="AM934">
        <v>100</v>
      </c>
      <c r="AN934">
        <v>15200</v>
      </c>
      <c r="AO934" t="s">
        <v>118</v>
      </c>
      <c r="AP934">
        <v>146</v>
      </c>
      <c r="AQ934">
        <v>118</v>
      </c>
      <c r="AR934">
        <v>1088</v>
      </c>
      <c r="AZ934">
        <v>1200</v>
      </c>
      <c r="BA934">
        <v>1</v>
      </c>
      <c r="BB934" t="str">
        <f t="shared" si="45"/>
        <v xml:space="preserve">N690LS  </v>
      </c>
      <c r="BC934">
        <v>1</v>
      </c>
      <c r="BE934">
        <v>0</v>
      </c>
      <c r="BF934">
        <v>0</v>
      </c>
      <c r="BG934">
        <v>0</v>
      </c>
      <c r="BH934">
        <v>15750</v>
      </c>
      <c r="BI934">
        <v>1</v>
      </c>
      <c r="BJ934">
        <v>1</v>
      </c>
      <c r="BK934">
        <v>1</v>
      </c>
      <c r="BL934">
        <v>0</v>
      </c>
      <c r="BO934">
        <v>0</v>
      </c>
      <c r="BP934">
        <v>0</v>
      </c>
      <c r="BW934" t="str">
        <f>"13:58:15.367"</f>
        <v>13:58:15.367</v>
      </c>
      <c r="CJ934">
        <v>0</v>
      </c>
      <c r="CK934">
        <v>2</v>
      </c>
      <c r="CL934">
        <v>0</v>
      </c>
      <c r="CM934">
        <v>2</v>
      </c>
      <c r="CN934">
        <v>0</v>
      </c>
      <c r="CO934">
        <v>7</v>
      </c>
      <c r="CP934" t="s">
        <v>119</v>
      </c>
      <c r="CQ934">
        <v>209</v>
      </c>
      <c r="CR934">
        <v>3</v>
      </c>
      <c r="CW934">
        <v>7254187</v>
      </c>
      <c r="CY934">
        <v>1</v>
      </c>
      <c r="CZ934">
        <v>0</v>
      </c>
      <c r="DA934">
        <v>1</v>
      </c>
      <c r="DB934">
        <v>0</v>
      </c>
      <c r="DC934">
        <v>0</v>
      </c>
      <c r="DD934">
        <v>1</v>
      </c>
      <c r="DE934">
        <v>0</v>
      </c>
      <c r="DF934">
        <v>0</v>
      </c>
      <c r="DG934">
        <v>0</v>
      </c>
      <c r="DH934">
        <v>0</v>
      </c>
      <c r="DI934">
        <v>0</v>
      </c>
    </row>
    <row r="935" spans="1:113" x14ac:dyDescent="0.3">
      <c r="A935" t="str">
        <f>"09/28/2021 13:58:16.543"</f>
        <v>09/28/2021 13:58:16.543</v>
      </c>
      <c r="C935" t="str">
        <f t="shared" ref="C935:C998" si="47">"FFDFD3C0"</f>
        <v>FFDFD3C0</v>
      </c>
      <c r="D935" t="s">
        <v>120</v>
      </c>
      <c r="E935">
        <v>12</v>
      </c>
      <c r="F935">
        <v>1012</v>
      </c>
      <c r="G935" t="s">
        <v>114</v>
      </c>
      <c r="J935" t="s">
        <v>121</v>
      </c>
      <c r="K935">
        <v>0</v>
      </c>
      <c r="L935">
        <v>3</v>
      </c>
      <c r="M935">
        <v>0</v>
      </c>
      <c r="N935">
        <v>2</v>
      </c>
      <c r="O935">
        <v>1</v>
      </c>
      <c r="P935">
        <v>0</v>
      </c>
      <c r="Q935">
        <v>0</v>
      </c>
      <c r="S935" t="str">
        <f>"13:58:16.289"</f>
        <v>13:58:16.289</v>
      </c>
      <c r="T935" t="str">
        <f>"13:58:15.789"</f>
        <v>13:58:15.789</v>
      </c>
      <c r="U935" t="str">
        <f t="shared" si="46"/>
        <v>A92BC1</v>
      </c>
      <c r="V935">
        <v>0</v>
      </c>
      <c r="W935">
        <v>0</v>
      </c>
      <c r="X935">
        <v>2</v>
      </c>
      <c r="Z935">
        <v>0</v>
      </c>
      <c r="AA935">
        <v>9</v>
      </c>
      <c r="AB935">
        <v>3</v>
      </c>
      <c r="AC935">
        <v>0</v>
      </c>
      <c r="AD935">
        <v>10</v>
      </c>
      <c r="AE935">
        <v>0</v>
      </c>
      <c r="AF935">
        <v>3</v>
      </c>
      <c r="AG935">
        <v>2</v>
      </c>
      <c r="AH935">
        <v>0</v>
      </c>
      <c r="AI935" t="s">
        <v>1036</v>
      </c>
      <c r="AJ935">
        <v>45.859873</v>
      </c>
      <c r="AK935" t="s">
        <v>1037</v>
      </c>
      <c r="AL935">
        <v>-89.152614999999997</v>
      </c>
      <c r="AM935">
        <v>100</v>
      </c>
      <c r="AN935">
        <v>15200</v>
      </c>
      <c r="AO935" t="s">
        <v>118</v>
      </c>
      <c r="AP935">
        <v>146</v>
      </c>
      <c r="AQ935">
        <v>118</v>
      </c>
      <c r="AR935">
        <v>1088</v>
      </c>
      <c r="AZ935">
        <v>1200</v>
      </c>
      <c r="BA935">
        <v>1</v>
      </c>
      <c r="BB935" t="str">
        <f t="shared" ref="BB935:BB998" si="48">"N690LS  "</f>
        <v xml:space="preserve">N690LS  </v>
      </c>
      <c r="BC935">
        <v>1</v>
      </c>
      <c r="BE935">
        <v>0</v>
      </c>
      <c r="BF935">
        <v>0</v>
      </c>
      <c r="BG935">
        <v>0</v>
      </c>
      <c r="BH935">
        <v>15750</v>
      </c>
      <c r="BI935">
        <v>1</v>
      </c>
      <c r="BJ935">
        <v>1</v>
      </c>
      <c r="BK935">
        <v>1</v>
      </c>
      <c r="BL935">
        <v>0</v>
      </c>
      <c r="BO935">
        <v>0</v>
      </c>
      <c r="BP935">
        <v>0</v>
      </c>
      <c r="BW935" t="str">
        <f>"13:58:16.289"</f>
        <v>13:58:16.289</v>
      </c>
      <c r="CJ935">
        <v>0</v>
      </c>
      <c r="CK935">
        <v>2</v>
      </c>
      <c r="CL935">
        <v>0</v>
      </c>
      <c r="CM935">
        <v>2</v>
      </c>
      <c r="CN935">
        <v>0</v>
      </c>
      <c r="CO935">
        <v>7</v>
      </c>
      <c r="CP935" t="s">
        <v>119</v>
      </c>
      <c r="CQ935">
        <v>209</v>
      </c>
      <c r="CR935">
        <v>3</v>
      </c>
      <c r="CW935">
        <v>7254452</v>
      </c>
      <c r="CY935">
        <v>1</v>
      </c>
      <c r="CZ935">
        <v>0</v>
      </c>
      <c r="DA935">
        <v>0</v>
      </c>
      <c r="DB935">
        <v>0</v>
      </c>
      <c r="DC935">
        <v>0</v>
      </c>
      <c r="DD935">
        <v>1</v>
      </c>
      <c r="DE935">
        <v>0</v>
      </c>
      <c r="DF935">
        <v>0</v>
      </c>
      <c r="DG935">
        <v>0</v>
      </c>
      <c r="DH935">
        <v>0</v>
      </c>
      <c r="DI935">
        <v>0</v>
      </c>
    </row>
    <row r="936" spans="1:113" x14ac:dyDescent="0.3">
      <c r="A936" t="str">
        <f>"09/28/2021 13:58:16.543"</f>
        <v>09/28/2021 13:58:16.543</v>
      </c>
      <c r="C936" t="str">
        <f t="shared" si="47"/>
        <v>FFDFD3C0</v>
      </c>
      <c r="D936" t="s">
        <v>113</v>
      </c>
      <c r="E936">
        <v>7</v>
      </c>
      <c r="H936">
        <v>170</v>
      </c>
      <c r="I936" t="s">
        <v>114</v>
      </c>
      <c r="J936" t="s">
        <v>115</v>
      </c>
      <c r="K936">
        <v>0</v>
      </c>
      <c r="L936">
        <v>3</v>
      </c>
      <c r="M936">
        <v>0</v>
      </c>
      <c r="N936">
        <v>2</v>
      </c>
      <c r="O936">
        <v>1</v>
      </c>
      <c r="P936">
        <v>0</v>
      </c>
      <c r="Q936">
        <v>0</v>
      </c>
      <c r="S936" t="str">
        <f>"13:58:16.289"</f>
        <v>13:58:16.289</v>
      </c>
      <c r="T936" t="str">
        <f>"13:58:15.789"</f>
        <v>13:58:15.789</v>
      </c>
      <c r="U936" t="str">
        <f t="shared" si="46"/>
        <v>A92BC1</v>
      </c>
      <c r="V936">
        <v>0</v>
      </c>
      <c r="W936">
        <v>0</v>
      </c>
      <c r="X936">
        <v>2</v>
      </c>
      <c r="Z936">
        <v>0</v>
      </c>
      <c r="AA936">
        <v>9</v>
      </c>
      <c r="AB936">
        <v>3</v>
      </c>
      <c r="AC936">
        <v>0</v>
      </c>
      <c r="AD936">
        <v>10</v>
      </c>
      <c r="AE936">
        <v>0</v>
      </c>
      <c r="AF936">
        <v>3</v>
      </c>
      <c r="AG936">
        <v>2</v>
      </c>
      <c r="AH936">
        <v>0</v>
      </c>
      <c r="AI936" t="s">
        <v>1036</v>
      </c>
      <c r="AJ936">
        <v>45.859873</v>
      </c>
      <c r="AK936" t="s">
        <v>1037</v>
      </c>
      <c r="AL936">
        <v>-89.152614999999997</v>
      </c>
      <c r="AM936">
        <v>100</v>
      </c>
      <c r="AN936">
        <v>15200</v>
      </c>
      <c r="AO936" t="s">
        <v>118</v>
      </c>
      <c r="AP936">
        <v>146</v>
      </c>
      <c r="AQ936">
        <v>118</v>
      </c>
      <c r="AR936">
        <v>1088</v>
      </c>
      <c r="AZ936">
        <v>1200</v>
      </c>
      <c r="BA936">
        <v>1</v>
      </c>
      <c r="BB936" t="str">
        <f t="shared" si="48"/>
        <v xml:space="preserve">N690LS  </v>
      </c>
      <c r="BC936">
        <v>1</v>
      </c>
      <c r="BE936">
        <v>0</v>
      </c>
      <c r="BF936">
        <v>0</v>
      </c>
      <c r="BG936">
        <v>0</v>
      </c>
      <c r="BH936">
        <v>15750</v>
      </c>
      <c r="BI936">
        <v>1</v>
      </c>
      <c r="BJ936">
        <v>1</v>
      </c>
      <c r="BK936">
        <v>1</v>
      </c>
      <c r="BL936">
        <v>0</v>
      </c>
      <c r="BO936">
        <v>0</v>
      </c>
      <c r="BP936">
        <v>0</v>
      </c>
      <c r="BW936" t="str">
        <f>"13:58:16.289"</f>
        <v>13:58:16.289</v>
      </c>
      <c r="CJ936">
        <v>0</v>
      </c>
      <c r="CK936">
        <v>2</v>
      </c>
      <c r="CL936">
        <v>0</v>
      </c>
      <c r="CM936">
        <v>2</v>
      </c>
      <c r="CN936">
        <v>0</v>
      </c>
      <c r="CO936">
        <v>7</v>
      </c>
      <c r="CP936" t="s">
        <v>119</v>
      </c>
      <c r="CQ936">
        <v>209</v>
      </c>
      <c r="CR936">
        <v>3</v>
      </c>
      <c r="CW936">
        <v>7254452</v>
      </c>
      <c r="CY936">
        <v>1</v>
      </c>
      <c r="CZ936">
        <v>0</v>
      </c>
      <c r="DA936">
        <v>1</v>
      </c>
      <c r="DB936">
        <v>0</v>
      </c>
      <c r="DC936">
        <v>0</v>
      </c>
      <c r="DD936">
        <v>1</v>
      </c>
      <c r="DE936">
        <v>0</v>
      </c>
      <c r="DF936">
        <v>0</v>
      </c>
      <c r="DG936">
        <v>0</v>
      </c>
      <c r="DH936">
        <v>0</v>
      </c>
      <c r="DI936">
        <v>0</v>
      </c>
    </row>
    <row r="937" spans="1:113" x14ac:dyDescent="0.3">
      <c r="A937" t="str">
        <f>"09/28/2021 13:58:17.524"</f>
        <v>09/28/2021 13:58:17.524</v>
      </c>
      <c r="C937" t="str">
        <f t="shared" si="47"/>
        <v>FFDFD3C0</v>
      </c>
      <c r="D937" t="s">
        <v>120</v>
      </c>
      <c r="E937">
        <v>12</v>
      </c>
      <c r="F937">
        <v>1012</v>
      </c>
      <c r="G937" t="s">
        <v>114</v>
      </c>
      <c r="J937" t="s">
        <v>121</v>
      </c>
      <c r="K937">
        <v>0</v>
      </c>
      <c r="L937">
        <v>3</v>
      </c>
      <c r="M937">
        <v>0</v>
      </c>
      <c r="N937">
        <v>2</v>
      </c>
      <c r="O937">
        <v>1</v>
      </c>
      <c r="P937">
        <v>0</v>
      </c>
      <c r="Q937">
        <v>0</v>
      </c>
      <c r="S937" t="str">
        <f>"13:58:17.313"</f>
        <v>13:58:17.313</v>
      </c>
      <c r="T937" t="str">
        <f>"13:58:16.813"</f>
        <v>13:58:16.813</v>
      </c>
      <c r="U937" t="str">
        <f t="shared" si="46"/>
        <v>A92BC1</v>
      </c>
      <c r="V937">
        <v>0</v>
      </c>
      <c r="W937">
        <v>0</v>
      </c>
      <c r="X937">
        <v>2</v>
      </c>
      <c r="Z937">
        <v>0</v>
      </c>
      <c r="AA937">
        <v>9</v>
      </c>
      <c r="AB937">
        <v>3</v>
      </c>
      <c r="AC937">
        <v>0</v>
      </c>
      <c r="AD937">
        <v>10</v>
      </c>
      <c r="AE937">
        <v>0</v>
      </c>
      <c r="AF937">
        <v>3</v>
      </c>
      <c r="AG937">
        <v>2</v>
      </c>
      <c r="AH937">
        <v>0</v>
      </c>
      <c r="AI937" t="s">
        <v>1038</v>
      </c>
      <c r="AJ937">
        <v>45.860430999999998</v>
      </c>
      <c r="AK937" t="s">
        <v>1039</v>
      </c>
      <c r="AL937">
        <v>-89.151649000000006</v>
      </c>
      <c r="AM937">
        <v>100</v>
      </c>
      <c r="AN937">
        <v>15300</v>
      </c>
      <c r="AO937" t="s">
        <v>118</v>
      </c>
      <c r="AP937">
        <v>147</v>
      </c>
      <c r="AQ937">
        <v>119</v>
      </c>
      <c r="AR937">
        <v>1088</v>
      </c>
      <c r="AZ937">
        <v>1200</v>
      </c>
      <c r="BA937">
        <v>1</v>
      </c>
      <c r="BB937" t="str">
        <f t="shared" si="48"/>
        <v xml:space="preserve">N690LS  </v>
      </c>
      <c r="BC937">
        <v>1</v>
      </c>
      <c r="BE937">
        <v>0</v>
      </c>
      <c r="BF937">
        <v>0</v>
      </c>
      <c r="BG937">
        <v>0</v>
      </c>
      <c r="BH937">
        <v>15775</v>
      </c>
      <c r="BI937">
        <v>1</v>
      </c>
      <c r="BJ937">
        <v>1</v>
      </c>
      <c r="BK937">
        <v>1</v>
      </c>
      <c r="BL937">
        <v>0</v>
      </c>
      <c r="BO937">
        <v>0</v>
      </c>
      <c r="BP937">
        <v>0</v>
      </c>
      <c r="BW937" t="str">
        <f>"13:58:17.318"</f>
        <v>13:58:17.318</v>
      </c>
      <c r="CJ937">
        <v>0</v>
      </c>
      <c r="CK937">
        <v>2</v>
      </c>
      <c r="CL937">
        <v>0</v>
      </c>
      <c r="CM937">
        <v>2</v>
      </c>
      <c r="CN937">
        <v>0</v>
      </c>
      <c r="CO937">
        <v>6</v>
      </c>
      <c r="CP937" t="s">
        <v>119</v>
      </c>
      <c r="CQ937">
        <v>209</v>
      </c>
      <c r="CR937">
        <v>2</v>
      </c>
      <c r="CW937">
        <v>11839823</v>
      </c>
      <c r="CY937">
        <v>1</v>
      </c>
      <c r="CZ937">
        <v>0</v>
      </c>
      <c r="DA937">
        <v>0</v>
      </c>
      <c r="DB937">
        <v>0</v>
      </c>
      <c r="DC937">
        <v>0</v>
      </c>
      <c r="DD937">
        <v>1</v>
      </c>
      <c r="DE937">
        <v>0</v>
      </c>
      <c r="DF937">
        <v>0</v>
      </c>
      <c r="DG937">
        <v>0</v>
      </c>
      <c r="DH937">
        <v>0</v>
      </c>
      <c r="DI937">
        <v>0</v>
      </c>
    </row>
    <row r="938" spans="1:113" x14ac:dyDescent="0.3">
      <c r="A938" t="str">
        <f>"09/28/2021 13:58:17.524"</f>
        <v>09/28/2021 13:58:17.524</v>
      </c>
      <c r="C938" t="str">
        <f t="shared" si="47"/>
        <v>FFDFD3C0</v>
      </c>
      <c r="D938" t="s">
        <v>113</v>
      </c>
      <c r="E938">
        <v>7</v>
      </c>
      <c r="H938">
        <v>170</v>
      </c>
      <c r="I938" t="s">
        <v>114</v>
      </c>
      <c r="J938" t="s">
        <v>115</v>
      </c>
      <c r="K938">
        <v>0</v>
      </c>
      <c r="L938">
        <v>3</v>
      </c>
      <c r="M938">
        <v>0</v>
      </c>
      <c r="N938">
        <v>2</v>
      </c>
      <c r="O938">
        <v>1</v>
      </c>
      <c r="P938">
        <v>0</v>
      </c>
      <c r="Q938">
        <v>0</v>
      </c>
      <c r="S938" t="str">
        <f>"13:58:17.313"</f>
        <v>13:58:17.313</v>
      </c>
      <c r="T938" t="str">
        <f>"13:58:16.813"</f>
        <v>13:58:16.813</v>
      </c>
      <c r="U938" t="str">
        <f t="shared" si="46"/>
        <v>A92BC1</v>
      </c>
      <c r="V938">
        <v>0</v>
      </c>
      <c r="W938">
        <v>0</v>
      </c>
      <c r="X938">
        <v>2</v>
      </c>
      <c r="Z938">
        <v>0</v>
      </c>
      <c r="AA938">
        <v>9</v>
      </c>
      <c r="AB938">
        <v>3</v>
      </c>
      <c r="AC938">
        <v>0</v>
      </c>
      <c r="AD938">
        <v>10</v>
      </c>
      <c r="AE938">
        <v>0</v>
      </c>
      <c r="AF938">
        <v>3</v>
      </c>
      <c r="AG938">
        <v>2</v>
      </c>
      <c r="AH938">
        <v>0</v>
      </c>
      <c r="AI938" t="s">
        <v>1038</v>
      </c>
      <c r="AJ938">
        <v>45.860430999999998</v>
      </c>
      <c r="AK938" t="s">
        <v>1039</v>
      </c>
      <c r="AL938">
        <v>-89.151649000000006</v>
      </c>
      <c r="AM938">
        <v>100</v>
      </c>
      <c r="AN938">
        <v>15300</v>
      </c>
      <c r="AO938" t="s">
        <v>118</v>
      </c>
      <c r="AP938">
        <v>147</v>
      </c>
      <c r="AQ938">
        <v>119</v>
      </c>
      <c r="AR938">
        <v>1088</v>
      </c>
      <c r="AZ938">
        <v>1200</v>
      </c>
      <c r="BA938">
        <v>1</v>
      </c>
      <c r="BB938" t="str">
        <f t="shared" si="48"/>
        <v xml:space="preserve">N690LS  </v>
      </c>
      <c r="BC938">
        <v>1</v>
      </c>
      <c r="BE938">
        <v>0</v>
      </c>
      <c r="BF938">
        <v>0</v>
      </c>
      <c r="BG938">
        <v>0</v>
      </c>
      <c r="BH938">
        <v>15775</v>
      </c>
      <c r="BI938">
        <v>1</v>
      </c>
      <c r="BJ938">
        <v>1</v>
      </c>
      <c r="BK938">
        <v>1</v>
      </c>
      <c r="BL938">
        <v>0</v>
      </c>
      <c r="BO938">
        <v>0</v>
      </c>
      <c r="BP938">
        <v>0</v>
      </c>
      <c r="BW938" t="str">
        <f>"13:58:17.318"</f>
        <v>13:58:17.318</v>
      </c>
      <c r="CJ938">
        <v>0</v>
      </c>
      <c r="CK938">
        <v>2</v>
      </c>
      <c r="CL938">
        <v>0</v>
      </c>
      <c r="CM938">
        <v>2</v>
      </c>
      <c r="CN938">
        <v>0</v>
      </c>
      <c r="CO938">
        <v>6</v>
      </c>
      <c r="CP938" t="s">
        <v>119</v>
      </c>
      <c r="CQ938">
        <v>209</v>
      </c>
      <c r="CR938">
        <v>2</v>
      </c>
      <c r="CW938">
        <v>11839823</v>
      </c>
      <c r="CY938">
        <v>1</v>
      </c>
      <c r="CZ938">
        <v>0</v>
      </c>
      <c r="DA938">
        <v>1</v>
      </c>
      <c r="DB938">
        <v>0</v>
      </c>
      <c r="DC938">
        <v>0</v>
      </c>
      <c r="DD938">
        <v>1</v>
      </c>
      <c r="DE938">
        <v>0</v>
      </c>
      <c r="DF938">
        <v>0</v>
      </c>
      <c r="DG938">
        <v>0</v>
      </c>
      <c r="DH938">
        <v>0</v>
      </c>
      <c r="DI938">
        <v>0</v>
      </c>
    </row>
    <row r="939" spans="1:113" x14ac:dyDescent="0.3">
      <c r="A939" t="str">
        <f>"09/28/2021 13:58:18.602"</f>
        <v>09/28/2021 13:58:18.602</v>
      </c>
      <c r="C939" t="str">
        <f t="shared" si="47"/>
        <v>FFDFD3C0</v>
      </c>
      <c r="D939" t="s">
        <v>120</v>
      </c>
      <c r="E939">
        <v>12</v>
      </c>
      <c r="F939">
        <v>1012</v>
      </c>
      <c r="G939" t="s">
        <v>114</v>
      </c>
      <c r="J939" t="s">
        <v>121</v>
      </c>
      <c r="K939">
        <v>0</v>
      </c>
      <c r="L939">
        <v>3</v>
      </c>
      <c r="M939">
        <v>0</v>
      </c>
      <c r="N939">
        <v>2</v>
      </c>
      <c r="O939">
        <v>1</v>
      </c>
      <c r="P939">
        <v>0</v>
      </c>
      <c r="Q939">
        <v>0</v>
      </c>
      <c r="S939" t="str">
        <f>"13:58:18.398"</f>
        <v>13:58:18.398</v>
      </c>
      <c r="T939" t="str">
        <f>"13:58:17.898"</f>
        <v>13:58:17.898</v>
      </c>
      <c r="U939" t="str">
        <f t="shared" si="46"/>
        <v>A92BC1</v>
      </c>
      <c r="V939">
        <v>0</v>
      </c>
      <c r="W939">
        <v>0</v>
      </c>
      <c r="X939">
        <v>2</v>
      </c>
      <c r="Z939">
        <v>0</v>
      </c>
      <c r="AA939">
        <v>9</v>
      </c>
      <c r="AB939">
        <v>3</v>
      </c>
      <c r="AC939">
        <v>0</v>
      </c>
      <c r="AD939">
        <v>10</v>
      </c>
      <c r="AE939">
        <v>0</v>
      </c>
      <c r="AF939">
        <v>3</v>
      </c>
      <c r="AG939">
        <v>2</v>
      </c>
      <c r="AH939">
        <v>0</v>
      </c>
      <c r="AI939" t="s">
        <v>1040</v>
      </c>
      <c r="AJ939">
        <v>45.861052999999998</v>
      </c>
      <c r="AK939" t="s">
        <v>1041</v>
      </c>
      <c r="AL939">
        <v>-89.150576999999998</v>
      </c>
      <c r="AM939">
        <v>100</v>
      </c>
      <c r="AN939">
        <v>15300</v>
      </c>
      <c r="AO939" t="s">
        <v>118</v>
      </c>
      <c r="AP939">
        <v>147</v>
      </c>
      <c r="AQ939">
        <v>119</v>
      </c>
      <c r="AR939">
        <v>1024</v>
      </c>
      <c r="AZ939">
        <v>1200</v>
      </c>
      <c r="BA939">
        <v>1</v>
      </c>
      <c r="BB939" t="str">
        <f t="shared" si="48"/>
        <v xml:space="preserve">N690LS  </v>
      </c>
      <c r="BC939">
        <v>1</v>
      </c>
      <c r="BE939">
        <v>0</v>
      </c>
      <c r="BF939">
        <v>0</v>
      </c>
      <c r="BG939">
        <v>0</v>
      </c>
      <c r="BH939">
        <v>15800</v>
      </c>
      <c r="BI939">
        <v>1</v>
      </c>
      <c r="BJ939">
        <v>1</v>
      </c>
      <c r="BK939">
        <v>1</v>
      </c>
      <c r="BL939">
        <v>0</v>
      </c>
      <c r="BO939">
        <v>0</v>
      </c>
      <c r="BP939">
        <v>0</v>
      </c>
      <c r="BW939" t="str">
        <f>"13:58:18.400"</f>
        <v>13:58:18.400</v>
      </c>
      <c r="CJ939">
        <v>0</v>
      </c>
      <c r="CK939">
        <v>2</v>
      </c>
      <c r="CL939">
        <v>0</v>
      </c>
      <c r="CM939">
        <v>2</v>
      </c>
      <c r="CN939">
        <v>0</v>
      </c>
      <c r="CO939">
        <v>7</v>
      </c>
      <c r="CP939" t="s">
        <v>119</v>
      </c>
      <c r="CQ939">
        <v>209</v>
      </c>
      <c r="CR939">
        <v>3</v>
      </c>
      <c r="CW939">
        <v>7255140</v>
      </c>
      <c r="CY939">
        <v>1</v>
      </c>
      <c r="CZ939">
        <v>0</v>
      </c>
      <c r="DA939">
        <v>0</v>
      </c>
      <c r="DB939">
        <v>0</v>
      </c>
      <c r="DC939">
        <v>0</v>
      </c>
      <c r="DD939">
        <v>1</v>
      </c>
      <c r="DE939">
        <v>0</v>
      </c>
      <c r="DF939">
        <v>0</v>
      </c>
      <c r="DG939">
        <v>0</v>
      </c>
      <c r="DH939">
        <v>0</v>
      </c>
      <c r="DI939">
        <v>0</v>
      </c>
    </row>
    <row r="940" spans="1:113" x14ac:dyDescent="0.3">
      <c r="A940" t="str">
        <f>"09/28/2021 13:58:18.602"</f>
        <v>09/28/2021 13:58:18.602</v>
      </c>
      <c r="C940" t="str">
        <f t="shared" si="47"/>
        <v>FFDFD3C0</v>
      </c>
      <c r="D940" t="s">
        <v>113</v>
      </c>
      <c r="E940">
        <v>7</v>
      </c>
      <c r="H940">
        <v>170</v>
      </c>
      <c r="I940" t="s">
        <v>114</v>
      </c>
      <c r="J940" t="s">
        <v>115</v>
      </c>
      <c r="K940">
        <v>0</v>
      </c>
      <c r="L940">
        <v>3</v>
      </c>
      <c r="M940">
        <v>0</v>
      </c>
      <c r="N940">
        <v>2</v>
      </c>
      <c r="O940">
        <v>1</v>
      </c>
      <c r="P940">
        <v>0</v>
      </c>
      <c r="Q940">
        <v>0</v>
      </c>
      <c r="S940" t="str">
        <f>"13:58:18.398"</f>
        <v>13:58:18.398</v>
      </c>
      <c r="T940" t="str">
        <f>"13:58:17.898"</f>
        <v>13:58:17.898</v>
      </c>
      <c r="U940" t="str">
        <f t="shared" si="46"/>
        <v>A92BC1</v>
      </c>
      <c r="V940">
        <v>0</v>
      </c>
      <c r="W940">
        <v>0</v>
      </c>
      <c r="X940">
        <v>2</v>
      </c>
      <c r="Z940">
        <v>0</v>
      </c>
      <c r="AA940">
        <v>9</v>
      </c>
      <c r="AB940">
        <v>3</v>
      </c>
      <c r="AC940">
        <v>0</v>
      </c>
      <c r="AD940">
        <v>10</v>
      </c>
      <c r="AE940">
        <v>0</v>
      </c>
      <c r="AF940">
        <v>3</v>
      </c>
      <c r="AG940">
        <v>2</v>
      </c>
      <c r="AH940">
        <v>0</v>
      </c>
      <c r="AI940" t="s">
        <v>1040</v>
      </c>
      <c r="AJ940">
        <v>45.861052999999998</v>
      </c>
      <c r="AK940" t="s">
        <v>1041</v>
      </c>
      <c r="AL940">
        <v>-89.150576999999998</v>
      </c>
      <c r="AM940">
        <v>100</v>
      </c>
      <c r="AN940">
        <v>15300</v>
      </c>
      <c r="AO940" t="s">
        <v>118</v>
      </c>
      <c r="AP940">
        <v>147</v>
      </c>
      <c r="AQ940">
        <v>119</v>
      </c>
      <c r="AR940">
        <v>1024</v>
      </c>
      <c r="AZ940">
        <v>1200</v>
      </c>
      <c r="BA940">
        <v>1</v>
      </c>
      <c r="BB940" t="str">
        <f t="shared" si="48"/>
        <v xml:space="preserve">N690LS  </v>
      </c>
      <c r="BC940">
        <v>1</v>
      </c>
      <c r="BE940">
        <v>0</v>
      </c>
      <c r="BF940">
        <v>0</v>
      </c>
      <c r="BG940">
        <v>0</v>
      </c>
      <c r="BH940">
        <v>15800</v>
      </c>
      <c r="BI940">
        <v>1</v>
      </c>
      <c r="BJ940">
        <v>1</v>
      </c>
      <c r="BK940">
        <v>1</v>
      </c>
      <c r="BL940">
        <v>0</v>
      </c>
      <c r="BO940">
        <v>0</v>
      </c>
      <c r="BP940">
        <v>0</v>
      </c>
      <c r="BW940" t="str">
        <f>"13:58:18.400"</f>
        <v>13:58:18.400</v>
      </c>
      <c r="CJ940">
        <v>0</v>
      </c>
      <c r="CK940">
        <v>2</v>
      </c>
      <c r="CL940">
        <v>0</v>
      </c>
      <c r="CM940">
        <v>2</v>
      </c>
      <c r="CN940">
        <v>0</v>
      </c>
      <c r="CO940">
        <v>7</v>
      </c>
      <c r="CP940" t="s">
        <v>119</v>
      </c>
      <c r="CQ940">
        <v>209</v>
      </c>
      <c r="CR940">
        <v>3</v>
      </c>
      <c r="CW940">
        <v>7255140</v>
      </c>
      <c r="CY940">
        <v>1</v>
      </c>
      <c r="CZ940">
        <v>0</v>
      </c>
      <c r="DA940">
        <v>1</v>
      </c>
      <c r="DB940">
        <v>0</v>
      </c>
      <c r="DC940">
        <v>0</v>
      </c>
      <c r="DD940">
        <v>1</v>
      </c>
      <c r="DE940">
        <v>0</v>
      </c>
      <c r="DF940">
        <v>0</v>
      </c>
      <c r="DG940">
        <v>0</v>
      </c>
      <c r="DH940">
        <v>0</v>
      </c>
      <c r="DI940">
        <v>0</v>
      </c>
    </row>
    <row r="941" spans="1:113" x14ac:dyDescent="0.3">
      <c r="A941" t="str">
        <f>"09/28/2021 13:58:19.572"</f>
        <v>09/28/2021 13:58:19.572</v>
      </c>
      <c r="C941" t="str">
        <f t="shared" si="47"/>
        <v>FFDFD3C0</v>
      </c>
      <c r="D941" t="s">
        <v>113</v>
      </c>
      <c r="E941">
        <v>7</v>
      </c>
      <c r="H941">
        <v>170</v>
      </c>
      <c r="I941" t="s">
        <v>114</v>
      </c>
      <c r="J941" t="s">
        <v>115</v>
      </c>
      <c r="K941">
        <v>0</v>
      </c>
      <c r="L941">
        <v>3</v>
      </c>
      <c r="M941">
        <v>0</v>
      </c>
      <c r="N941">
        <v>2</v>
      </c>
      <c r="O941">
        <v>1</v>
      </c>
      <c r="P941">
        <v>0</v>
      </c>
      <c r="Q941">
        <v>0</v>
      </c>
      <c r="S941" t="str">
        <f>"13:58:19.375"</f>
        <v>13:58:19.375</v>
      </c>
      <c r="T941" t="str">
        <f>"13:58:18.975"</f>
        <v>13:58:18.975</v>
      </c>
      <c r="U941" t="str">
        <f t="shared" si="46"/>
        <v>A92BC1</v>
      </c>
      <c r="V941">
        <v>0</v>
      </c>
      <c r="W941">
        <v>0</v>
      </c>
      <c r="X941">
        <v>2</v>
      </c>
      <c r="Z941">
        <v>0</v>
      </c>
      <c r="AA941">
        <v>9</v>
      </c>
      <c r="AB941">
        <v>3</v>
      </c>
      <c r="AC941">
        <v>0</v>
      </c>
      <c r="AD941">
        <v>10</v>
      </c>
      <c r="AE941">
        <v>0</v>
      </c>
      <c r="AF941">
        <v>3</v>
      </c>
      <c r="AG941">
        <v>2</v>
      </c>
      <c r="AH941">
        <v>0</v>
      </c>
      <c r="AI941" t="s">
        <v>1042</v>
      </c>
      <c r="AJ941">
        <v>45.861611000000003</v>
      </c>
      <c r="AK941" t="s">
        <v>1043</v>
      </c>
      <c r="AL941">
        <v>-89.149568000000002</v>
      </c>
      <c r="AM941">
        <v>100</v>
      </c>
      <c r="AN941">
        <v>15300</v>
      </c>
      <c r="AO941" t="s">
        <v>118</v>
      </c>
      <c r="AP941">
        <v>148</v>
      </c>
      <c r="AQ941">
        <v>119</v>
      </c>
      <c r="AR941">
        <v>960</v>
      </c>
      <c r="AZ941">
        <v>1200</v>
      </c>
      <c r="BA941">
        <v>1</v>
      </c>
      <c r="BB941" t="str">
        <f t="shared" si="48"/>
        <v xml:space="preserve">N690LS  </v>
      </c>
      <c r="BC941">
        <v>1</v>
      </c>
      <c r="BE941">
        <v>0</v>
      </c>
      <c r="BF941">
        <v>0</v>
      </c>
      <c r="BG941">
        <v>0</v>
      </c>
      <c r="BH941">
        <v>15800</v>
      </c>
      <c r="BI941">
        <v>1</v>
      </c>
      <c r="BJ941">
        <v>1</v>
      </c>
      <c r="BK941">
        <v>1</v>
      </c>
      <c r="BL941">
        <v>0</v>
      </c>
      <c r="BO941">
        <v>0</v>
      </c>
      <c r="BP941">
        <v>0</v>
      </c>
      <c r="BW941" t="str">
        <f>"13:58:19.378"</f>
        <v>13:58:19.378</v>
      </c>
      <c r="CJ941">
        <v>0</v>
      </c>
      <c r="CK941">
        <v>2</v>
      </c>
      <c r="CL941">
        <v>0</v>
      </c>
      <c r="CM941">
        <v>2</v>
      </c>
      <c r="CN941">
        <v>0</v>
      </c>
      <c r="CO941">
        <v>7</v>
      </c>
      <c r="CP941" t="s">
        <v>119</v>
      </c>
      <c r="CQ941">
        <v>209</v>
      </c>
      <c r="CR941">
        <v>3</v>
      </c>
      <c r="CW941">
        <v>7255478</v>
      </c>
      <c r="CY941">
        <v>1</v>
      </c>
      <c r="CZ941">
        <v>0</v>
      </c>
      <c r="DA941">
        <v>0</v>
      </c>
      <c r="DB941">
        <v>0</v>
      </c>
      <c r="DC941">
        <v>0</v>
      </c>
      <c r="DD941">
        <v>1</v>
      </c>
      <c r="DE941">
        <v>0</v>
      </c>
      <c r="DF941">
        <v>0</v>
      </c>
      <c r="DG941">
        <v>0</v>
      </c>
      <c r="DH941">
        <v>0</v>
      </c>
      <c r="DI941">
        <v>0</v>
      </c>
    </row>
    <row r="942" spans="1:113" x14ac:dyDescent="0.3">
      <c r="A942" t="str">
        <f>"09/28/2021 13:58:19.588"</f>
        <v>09/28/2021 13:58:19.588</v>
      </c>
      <c r="C942" t="str">
        <f t="shared" si="47"/>
        <v>FFDFD3C0</v>
      </c>
      <c r="D942" t="s">
        <v>120</v>
      </c>
      <c r="E942">
        <v>12</v>
      </c>
      <c r="F942">
        <v>1012</v>
      </c>
      <c r="G942" t="s">
        <v>114</v>
      </c>
      <c r="J942" t="s">
        <v>121</v>
      </c>
      <c r="K942">
        <v>0</v>
      </c>
      <c r="L942">
        <v>3</v>
      </c>
      <c r="M942">
        <v>0</v>
      </c>
      <c r="N942">
        <v>2</v>
      </c>
      <c r="O942">
        <v>1</v>
      </c>
      <c r="P942">
        <v>0</v>
      </c>
      <c r="Q942">
        <v>0</v>
      </c>
      <c r="S942" t="str">
        <f>"13:58:19.375"</f>
        <v>13:58:19.375</v>
      </c>
      <c r="T942" t="str">
        <f>"13:58:18.975"</f>
        <v>13:58:18.975</v>
      </c>
      <c r="U942" t="str">
        <f t="shared" si="46"/>
        <v>A92BC1</v>
      </c>
      <c r="V942">
        <v>0</v>
      </c>
      <c r="W942">
        <v>0</v>
      </c>
      <c r="X942">
        <v>2</v>
      </c>
      <c r="Z942">
        <v>0</v>
      </c>
      <c r="AA942">
        <v>9</v>
      </c>
      <c r="AB942">
        <v>3</v>
      </c>
      <c r="AC942">
        <v>0</v>
      </c>
      <c r="AD942">
        <v>10</v>
      </c>
      <c r="AE942">
        <v>0</v>
      </c>
      <c r="AF942">
        <v>3</v>
      </c>
      <c r="AG942">
        <v>2</v>
      </c>
      <c r="AH942">
        <v>0</v>
      </c>
      <c r="AI942" t="s">
        <v>1042</v>
      </c>
      <c r="AJ942">
        <v>45.861611000000003</v>
      </c>
      <c r="AK942" t="s">
        <v>1043</v>
      </c>
      <c r="AL942">
        <v>-89.149568000000002</v>
      </c>
      <c r="AM942">
        <v>100</v>
      </c>
      <c r="AN942">
        <v>15300</v>
      </c>
      <c r="AO942" t="s">
        <v>118</v>
      </c>
      <c r="AP942">
        <v>148</v>
      </c>
      <c r="AQ942">
        <v>119</v>
      </c>
      <c r="AR942">
        <v>960</v>
      </c>
      <c r="AZ942">
        <v>1200</v>
      </c>
      <c r="BA942">
        <v>1</v>
      </c>
      <c r="BB942" t="str">
        <f t="shared" si="48"/>
        <v xml:space="preserve">N690LS  </v>
      </c>
      <c r="BC942">
        <v>1</v>
      </c>
      <c r="BE942">
        <v>0</v>
      </c>
      <c r="BF942">
        <v>0</v>
      </c>
      <c r="BG942">
        <v>0</v>
      </c>
      <c r="BH942">
        <v>15800</v>
      </c>
      <c r="BI942">
        <v>1</v>
      </c>
      <c r="BJ942">
        <v>1</v>
      </c>
      <c r="BK942">
        <v>1</v>
      </c>
      <c r="BL942">
        <v>0</v>
      </c>
      <c r="BO942">
        <v>0</v>
      </c>
      <c r="BP942">
        <v>0</v>
      </c>
      <c r="BW942" t="str">
        <f>"13:58:19.378"</f>
        <v>13:58:19.378</v>
      </c>
      <c r="CJ942">
        <v>0</v>
      </c>
      <c r="CK942">
        <v>2</v>
      </c>
      <c r="CL942">
        <v>0</v>
      </c>
      <c r="CM942">
        <v>2</v>
      </c>
      <c r="CN942">
        <v>0</v>
      </c>
      <c r="CO942">
        <v>7</v>
      </c>
      <c r="CP942" t="s">
        <v>119</v>
      </c>
      <c r="CQ942">
        <v>209</v>
      </c>
      <c r="CR942">
        <v>3</v>
      </c>
      <c r="CW942">
        <v>7255478</v>
      </c>
      <c r="CY942">
        <v>1</v>
      </c>
      <c r="CZ942">
        <v>0</v>
      </c>
      <c r="DA942">
        <v>1</v>
      </c>
      <c r="DB942">
        <v>0</v>
      </c>
      <c r="DC942">
        <v>0</v>
      </c>
      <c r="DD942">
        <v>1</v>
      </c>
      <c r="DE942">
        <v>0</v>
      </c>
      <c r="DF942">
        <v>0</v>
      </c>
      <c r="DG942">
        <v>0</v>
      </c>
      <c r="DH942">
        <v>0</v>
      </c>
      <c r="DI942">
        <v>0</v>
      </c>
    </row>
    <row r="943" spans="1:113" x14ac:dyDescent="0.3">
      <c r="A943" t="str">
        <f>"09/28/2021 13:58:20.650"</f>
        <v>09/28/2021 13:58:20.650</v>
      </c>
      <c r="C943" t="str">
        <f t="shared" si="47"/>
        <v>FFDFD3C0</v>
      </c>
      <c r="D943" t="s">
        <v>120</v>
      </c>
      <c r="E943">
        <v>12</v>
      </c>
      <c r="F943">
        <v>1012</v>
      </c>
      <c r="G943" t="s">
        <v>114</v>
      </c>
      <c r="J943" t="s">
        <v>121</v>
      </c>
      <c r="K943">
        <v>0</v>
      </c>
      <c r="L943">
        <v>3</v>
      </c>
      <c r="M943">
        <v>0</v>
      </c>
      <c r="N943">
        <v>2</v>
      </c>
      <c r="O943">
        <v>1</v>
      </c>
      <c r="P943">
        <v>0</v>
      </c>
      <c r="Q943">
        <v>0</v>
      </c>
      <c r="S943" t="str">
        <f>"13:58:20.484"</f>
        <v>13:58:20.484</v>
      </c>
      <c r="T943" t="str">
        <f>"13:58:19.984"</f>
        <v>13:58:19.984</v>
      </c>
      <c r="U943" t="str">
        <f t="shared" si="46"/>
        <v>A92BC1</v>
      </c>
      <c r="V943">
        <v>0</v>
      </c>
      <c r="W943">
        <v>0</v>
      </c>
      <c r="X943">
        <v>2</v>
      </c>
      <c r="Z943">
        <v>0</v>
      </c>
      <c r="AA943">
        <v>9</v>
      </c>
      <c r="AB943">
        <v>3</v>
      </c>
      <c r="AC943">
        <v>0</v>
      </c>
      <c r="AD943">
        <v>10</v>
      </c>
      <c r="AE943">
        <v>0</v>
      </c>
      <c r="AF943">
        <v>3</v>
      </c>
      <c r="AG943">
        <v>2</v>
      </c>
      <c r="AH943">
        <v>0</v>
      </c>
      <c r="AI943" t="s">
        <v>1044</v>
      </c>
      <c r="AJ943">
        <v>45.862191000000003</v>
      </c>
      <c r="AK943" t="s">
        <v>1045</v>
      </c>
      <c r="AL943">
        <v>-89.148494999999997</v>
      </c>
      <c r="AM943">
        <v>100</v>
      </c>
      <c r="AN943">
        <v>15300</v>
      </c>
      <c r="AO943" t="s">
        <v>118</v>
      </c>
      <c r="AP943">
        <v>148</v>
      </c>
      <c r="AQ943">
        <v>119</v>
      </c>
      <c r="AR943">
        <v>832</v>
      </c>
      <c r="AZ943">
        <v>1200</v>
      </c>
      <c r="BA943">
        <v>1</v>
      </c>
      <c r="BB943" t="str">
        <f t="shared" si="48"/>
        <v xml:space="preserve">N690LS  </v>
      </c>
      <c r="BC943">
        <v>1</v>
      </c>
      <c r="BE943">
        <v>0</v>
      </c>
      <c r="BF943">
        <v>0</v>
      </c>
      <c r="BG943">
        <v>0</v>
      </c>
      <c r="BH943">
        <v>15825</v>
      </c>
      <c r="BI943">
        <v>1</v>
      </c>
      <c r="BJ943">
        <v>1</v>
      </c>
      <c r="BK943">
        <v>1</v>
      </c>
      <c r="BL943">
        <v>0</v>
      </c>
      <c r="BO943">
        <v>0</v>
      </c>
      <c r="BP943">
        <v>0</v>
      </c>
      <c r="BW943" t="str">
        <f>"13:58:20.485"</f>
        <v>13:58:20.485</v>
      </c>
      <c r="CJ943">
        <v>0</v>
      </c>
      <c r="CK943">
        <v>2</v>
      </c>
      <c r="CL943">
        <v>0</v>
      </c>
      <c r="CM943">
        <v>2</v>
      </c>
      <c r="CN943">
        <v>0</v>
      </c>
      <c r="CO943">
        <v>7</v>
      </c>
      <c r="CP943" t="s">
        <v>119</v>
      </c>
      <c r="CQ943">
        <v>209</v>
      </c>
      <c r="CR943">
        <v>3</v>
      </c>
      <c r="CW943">
        <v>7255833</v>
      </c>
      <c r="CY943">
        <v>1</v>
      </c>
      <c r="CZ943">
        <v>0</v>
      </c>
      <c r="DA943">
        <v>0</v>
      </c>
      <c r="DB943">
        <v>0</v>
      </c>
      <c r="DC943">
        <v>0</v>
      </c>
      <c r="DD943">
        <v>1</v>
      </c>
      <c r="DE943">
        <v>0</v>
      </c>
      <c r="DF943">
        <v>0</v>
      </c>
      <c r="DG943">
        <v>0</v>
      </c>
      <c r="DH943">
        <v>0</v>
      </c>
      <c r="DI943">
        <v>0</v>
      </c>
    </row>
    <row r="944" spans="1:113" x14ac:dyDescent="0.3">
      <c r="A944" t="str">
        <f>"09/28/2021 13:58:20.666"</f>
        <v>09/28/2021 13:58:20.666</v>
      </c>
      <c r="C944" t="str">
        <f t="shared" si="47"/>
        <v>FFDFD3C0</v>
      </c>
      <c r="D944" t="s">
        <v>113</v>
      </c>
      <c r="E944">
        <v>7</v>
      </c>
      <c r="H944">
        <v>170</v>
      </c>
      <c r="I944" t="s">
        <v>114</v>
      </c>
      <c r="J944" t="s">
        <v>115</v>
      </c>
      <c r="K944">
        <v>0</v>
      </c>
      <c r="L944">
        <v>3</v>
      </c>
      <c r="M944">
        <v>0</v>
      </c>
      <c r="N944">
        <v>2</v>
      </c>
      <c r="O944">
        <v>1</v>
      </c>
      <c r="P944">
        <v>0</v>
      </c>
      <c r="Q944">
        <v>0</v>
      </c>
      <c r="S944" t="str">
        <f>"13:58:20.484"</f>
        <v>13:58:20.484</v>
      </c>
      <c r="T944" t="str">
        <f>"13:58:19.984"</f>
        <v>13:58:19.984</v>
      </c>
      <c r="U944" t="str">
        <f t="shared" si="46"/>
        <v>A92BC1</v>
      </c>
      <c r="V944">
        <v>0</v>
      </c>
      <c r="W944">
        <v>0</v>
      </c>
      <c r="X944">
        <v>2</v>
      </c>
      <c r="Z944">
        <v>0</v>
      </c>
      <c r="AA944">
        <v>9</v>
      </c>
      <c r="AB944">
        <v>3</v>
      </c>
      <c r="AC944">
        <v>0</v>
      </c>
      <c r="AD944">
        <v>10</v>
      </c>
      <c r="AE944">
        <v>0</v>
      </c>
      <c r="AF944">
        <v>3</v>
      </c>
      <c r="AG944">
        <v>2</v>
      </c>
      <c r="AH944">
        <v>0</v>
      </c>
      <c r="AI944" t="s">
        <v>1044</v>
      </c>
      <c r="AJ944">
        <v>45.862191000000003</v>
      </c>
      <c r="AK944" t="s">
        <v>1045</v>
      </c>
      <c r="AL944">
        <v>-89.148494999999997</v>
      </c>
      <c r="AM944">
        <v>100</v>
      </c>
      <c r="AN944">
        <v>15300</v>
      </c>
      <c r="AO944" t="s">
        <v>118</v>
      </c>
      <c r="AP944">
        <v>148</v>
      </c>
      <c r="AQ944">
        <v>119</v>
      </c>
      <c r="AR944">
        <v>832</v>
      </c>
      <c r="AZ944">
        <v>1200</v>
      </c>
      <c r="BA944">
        <v>1</v>
      </c>
      <c r="BB944" t="str">
        <f t="shared" si="48"/>
        <v xml:space="preserve">N690LS  </v>
      </c>
      <c r="BC944">
        <v>1</v>
      </c>
      <c r="BE944">
        <v>0</v>
      </c>
      <c r="BF944">
        <v>0</v>
      </c>
      <c r="BG944">
        <v>0</v>
      </c>
      <c r="BH944">
        <v>15825</v>
      </c>
      <c r="BI944">
        <v>1</v>
      </c>
      <c r="BJ944">
        <v>1</v>
      </c>
      <c r="BK944">
        <v>1</v>
      </c>
      <c r="BL944">
        <v>0</v>
      </c>
      <c r="BO944">
        <v>0</v>
      </c>
      <c r="BP944">
        <v>0</v>
      </c>
      <c r="BW944" t="str">
        <f>"13:58:20.485"</f>
        <v>13:58:20.485</v>
      </c>
      <c r="CJ944">
        <v>0</v>
      </c>
      <c r="CK944">
        <v>2</v>
      </c>
      <c r="CL944">
        <v>0</v>
      </c>
      <c r="CM944">
        <v>2</v>
      </c>
      <c r="CN944">
        <v>0</v>
      </c>
      <c r="CO944">
        <v>7</v>
      </c>
      <c r="CP944" t="s">
        <v>119</v>
      </c>
      <c r="CQ944">
        <v>209</v>
      </c>
      <c r="CR944">
        <v>3</v>
      </c>
      <c r="CW944">
        <v>7255833</v>
      </c>
      <c r="CY944">
        <v>1</v>
      </c>
      <c r="CZ944">
        <v>0</v>
      </c>
      <c r="DA944">
        <v>1</v>
      </c>
      <c r="DB944">
        <v>0</v>
      </c>
      <c r="DC944">
        <v>0</v>
      </c>
      <c r="DD944">
        <v>1</v>
      </c>
      <c r="DE944">
        <v>0</v>
      </c>
      <c r="DF944">
        <v>0</v>
      </c>
      <c r="DG944">
        <v>0</v>
      </c>
      <c r="DH944">
        <v>0</v>
      </c>
      <c r="DI944">
        <v>0</v>
      </c>
    </row>
    <row r="945" spans="1:113" x14ac:dyDescent="0.3">
      <c r="A945" t="str">
        <f>"09/28/2021 13:58:21.574"</f>
        <v>09/28/2021 13:58:21.574</v>
      </c>
      <c r="C945" t="str">
        <f t="shared" si="47"/>
        <v>FFDFD3C0</v>
      </c>
      <c r="D945" t="s">
        <v>120</v>
      </c>
      <c r="E945">
        <v>12</v>
      </c>
      <c r="F945">
        <v>1012</v>
      </c>
      <c r="G945" t="s">
        <v>114</v>
      </c>
      <c r="J945" t="s">
        <v>121</v>
      </c>
      <c r="K945">
        <v>0</v>
      </c>
      <c r="L945">
        <v>3</v>
      </c>
      <c r="M945">
        <v>0</v>
      </c>
      <c r="N945">
        <v>2</v>
      </c>
      <c r="O945">
        <v>1</v>
      </c>
      <c r="P945">
        <v>0</v>
      </c>
      <c r="Q945">
        <v>0</v>
      </c>
      <c r="S945" t="str">
        <f>"13:58:21.383"</f>
        <v>13:58:21.383</v>
      </c>
      <c r="T945" t="str">
        <f>"13:58:20.983"</f>
        <v>13:58:20.983</v>
      </c>
      <c r="U945" t="str">
        <f t="shared" si="46"/>
        <v>A92BC1</v>
      </c>
      <c r="V945">
        <v>0</v>
      </c>
      <c r="W945">
        <v>0</v>
      </c>
      <c r="X945">
        <v>2</v>
      </c>
      <c r="Z945">
        <v>0</v>
      </c>
      <c r="AA945">
        <v>9</v>
      </c>
      <c r="AB945">
        <v>3</v>
      </c>
      <c r="AC945">
        <v>0</v>
      </c>
      <c r="AD945">
        <v>10</v>
      </c>
      <c r="AE945">
        <v>0</v>
      </c>
      <c r="AF945">
        <v>3</v>
      </c>
      <c r="AG945">
        <v>2</v>
      </c>
      <c r="AH945">
        <v>0</v>
      </c>
      <c r="AI945" t="s">
        <v>1046</v>
      </c>
      <c r="AJ945">
        <v>45.862706000000003</v>
      </c>
      <c r="AK945" t="s">
        <v>1047</v>
      </c>
      <c r="AL945">
        <v>-89.147615000000002</v>
      </c>
      <c r="AM945">
        <v>100</v>
      </c>
      <c r="AN945">
        <v>15300</v>
      </c>
      <c r="AO945" t="s">
        <v>118</v>
      </c>
      <c r="AP945">
        <v>149</v>
      </c>
      <c r="AQ945">
        <v>120</v>
      </c>
      <c r="AR945">
        <v>768</v>
      </c>
      <c r="AZ945">
        <v>1200</v>
      </c>
      <c r="BA945">
        <v>1</v>
      </c>
      <c r="BB945" t="str">
        <f t="shared" si="48"/>
        <v xml:space="preserve">N690LS  </v>
      </c>
      <c r="BC945">
        <v>1</v>
      </c>
      <c r="BE945">
        <v>0</v>
      </c>
      <c r="BF945">
        <v>0</v>
      </c>
      <c r="BG945">
        <v>0</v>
      </c>
      <c r="BH945">
        <v>15825</v>
      </c>
      <c r="BI945">
        <v>1</v>
      </c>
      <c r="BJ945">
        <v>1</v>
      </c>
      <c r="BK945">
        <v>1</v>
      </c>
      <c r="BL945">
        <v>0</v>
      </c>
      <c r="BO945">
        <v>0</v>
      </c>
      <c r="BP945">
        <v>0</v>
      </c>
      <c r="BW945" t="str">
        <f>"13:58:21.387"</f>
        <v>13:58:21.387</v>
      </c>
      <c r="CJ945">
        <v>0</v>
      </c>
      <c r="CK945">
        <v>2</v>
      </c>
      <c r="CL945">
        <v>0</v>
      </c>
      <c r="CM945">
        <v>2</v>
      </c>
      <c r="CN945">
        <v>0</v>
      </c>
      <c r="CO945">
        <v>7</v>
      </c>
      <c r="CP945" t="s">
        <v>119</v>
      </c>
      <c r="CQ945">
        <v>209</v>
      </c>
      <c r="CR945">
        <v>3</v>
      </c>
      <c r="CW945">
        <v>7256131</v>
      </c>
      <c r="CY945">
        <v>1</v>
      </c>
      <c r="CZ945">
        <v>0</v>
      </c>
      <c r="DA945">
        <v>0</v>
      </c>
      <c r="DB945">
        <v>0</v>
      </c>
      <c r="DC945">
        <v>0</v>
      </c>
      <c r="DD945">
        <v>1</v>
      </c>
      <c r="DE945">
        <v>0</v>
      </c>
      <c r="DF945">
        <v>0</v>
      </c>
      <c r="DG945">
        <v>0</v>
      </c>
      <c r="DH945">
        <v>0</v>
      </c>
      <c r="DI945">
        <v>0</v>
      </c>
    </row>
    <row r="946" spans="1:113" x14ac:dyDescent="0.3">
      <c r="A946" t="str">
        <f>"09/28/2021 13:58:21.574"</f>
        <v>09/28/2021 13:58:21.574</v>
      </c>
      <c r="C946" t="str">
        <f t="shared" si="47"/>
        <v>FFDFD3C0</v>
      </c>
      <c r="D946" t="s">
        <v>113</v>
      </c>
      <c r="E946">
        <v>7</v>
      </c>
      <c r="H946">
        <v>170</v>
      </c>
      <c r="I946" t="s">
        <v>114</v>
      </c>
      <c r="J946" t="s">
        <v>115</v>
      </c>
      <c r="K946">
        <v>0</v>
      </c>
      <c r="L946">
        <v>3</v>
      </c>
      <c r="M946">
        <v>0</v>
      </c>
      <c r="N946">
        <v>2</v>
      </c>
      <c r="O946">
        <v>1</v>
      </c>
      <c r="P946">
        <v>0</v>
      </c>
      <c r="Q946">
        <v>0</v>
      </c>
      <c r="S946" t="str">
        <f>"13:58:21.383"</f>
        <v>13:58:21.383</v>
      </c>
      <c r="T946" t="str">
        <f>"13:58:20.983"</f>
        <v>13:58:20.983</v>
      </c>
      <c r="U946" t="str">
        <f t="shared" si="46"/>
        <v>A92BC1</v>
      </c>
      <c r="V946">
        <v>0</v>
      </c>
      <c r="W946">
        <v>0</v>
      </c>
      <c r="X946">
        <v>2</v>
      </c>
      <c r="Z946">
        <v>0</v>
      </c>
      <c r="AA946">
        <v>9</v>
      </c>
      <c r="AB946">
        <v>3</v>
      </c>
      <c r="AC946">
        <v>0</v>
      </c>
      <c r="AD946">
        <v>10</v>
      </c>
      <c r="AE946">
        <v>0</v>
      </c>
      <c r="AF946">
        <v>3</v>
      </c>
      <c r="AG946">
        <v>2</v>
      </c>
      <c r="AH946">
        <v>0</v>
      </c>
      <c r="AI946" t="s">
        <v>1046</v>
      </c>
      <c r="AJ946">
        <v>45.862706000000003</v>
      </c>
      <c r="AK946" t="s">
        <v>1047</v>
      </c>
      <c r="AL946">
        <v>-89.147615000000002</v>
      </c>
      <c r="AM946">
        <v>100</v>
      </c>
      <c r="AN946">
        <v>15300</v>
      </c>
      <c r="AO946" t="s">
        <v>118</v>
      </c>
      <c r="AP946">
        <v>149</v>
      </c>
      <c r="AQ946">
        <v>120</v>
      </c>
      <c r="AR946">
        <v>768</v>
      </c>
      <c r="AZ946">
        <v>1200</v>
      </c>
      <c r="BA946">
        <v>1</v>
      </c>
      <c r="BB946" t="str">
        <f t="shared" si="48"/>
        <v xml:space="preserve">N690LS  </v>
      </c>
      <c r="BC946">
        <v>1</v>
      </c>
      <c r="BE946">
        <v>0</v>
      </c>
      <c r="BF946">
        <v>0</v>
      </c>
      <c r="BG946">
        <v>0</v>
      </c>
      <c r="BH946">
        <v>15825</v>
      </c>
      <c r="BI946">
        <v>1</v>
      </c>
      <c r="BJ946">
        <v>1</v>
      </c>
      <c r="BK946">
        <v>1</v>
      </c>
      <c r="BL946">
        <v>0</v>
      </c>
      <c r="BO946">
        <v>0</v>
      </c>
      <c r="BP946">
        <v>0</v>
      </c>
      <c r="BW946" t="str">
        <f>"13:58:21.387"</f>
        <v>13:58:21.387</v>
      </c>
      <c r="CJ946">
        <v>0</v>
      </c>
      <c r="CK946">
        <v>2</v>
      </c>
      <c r="CL946">
        <v>0</v>
      </c>
      <c r="CM946">
        <v>2</v>
      </c>
      <c r="CN946">
        <v>0</v>
      </c>
      <c r="CO946">
        <v>7</v>
      </c>
      <c r="CP946" t="s">
        <v>119</v>
      </c>
      <c r="CQ946">
        <v>209</v>
      </c>
      <c r="CR946">
        <v>3</v>
      </c>
      <c r="CW946">
        <v>7256131</v>
      </c>
      <c r="CY946">
        <v>1</v>
      </c>
      <c r="CZ946">
        <v>0</v>
      </c>
      <c r="DA946">
        <v>1</v>
      </c>
      <c r="DB946">
        <v>0</v>
      </c>
      <c r="DC946">
        <v>0</v>
      </c>
      <c r="DD946">
        <v>1</v>
      </c>
      <c r="DE946">
        <v>0</v>
      </c>
      <c r="DF946">
        <v>0</v>
      </c>
      <c r="DG946">
        <v>0</v>
      </c>
      <c r="DH946">
        <v>0</v>
      </c>
      <c r="DI946">
        <v>0</v>
      </c>
    </row>
    <row r="947" spans="1:113" x14ac:dyDescent="0.3">
      <c r="A947" t="str">
        <f>"09/28/2021 13:58:22.589"</f>
        <v>09/28/2021 13:58:22.589</v>
      </c>
      <c r="C947" t="str">
        <f t="shared" si="47"/>
        <v>FFDFD3C0</v>
      </c>
      <c r="D947" t="s">
        <v>120</v>
      </c>
      <c r="E947">
        <v>12</v>
      </c>
      <c r="F947">
        <v>1012</v>
      </c>
      <c r="G947" t="s">
        <v>114</v>
      </c>
      <c r="J947" t="s">
        <v>121</v>
      </c>
      <c r="K947">
        <v>0</v>
      </c>
      <c r="L947">
        <v>3</v>
      </c>
      <c r="M947">
        <v>0</v>
      </c>
      <c r="N947">
        <v>2</v>
      </c>
      <c r="O947">
        <v>1</v>
      </c>
      <c r="P947">
        <v>0</v>
      </c>
      <c r="Q947">
        <v>0</v>
      </c>
      <c r="S947" t="str">
        <f>"13:58:22.383"</f>
        <v>13:58:22.383</v>
      </c>
      <c r="T947" t="str">
        <f>"13:58:21.983"</f>
        <v>13:58:21.983</v>
      </c>
      <c r="U947" t="str">
        <f t="shared" si="46"/>
        <v>A92BC1</v>
      </c>
      <c r="V947">
        <v>0</v>
      </c>
      <c r="W947">
        <v>0</v>
      </c>
      <c r="X947">
        <v>2</v>
      </c>
      <c r="Z947">
        <v>0</v>
      </c>
      <c r="AA947">
        <v>9</v>
      </c>
      <c r="AB947">
        <v>3</v>
      </c>
      <c r="AC947">
        <v>0</v>
      </c>
      <c r="AD947">
        <v>10</v>
      </c>
      <c r="AE947">
        <v>0</v>
      </c>
      <c r="AF947">
        <v>3</v>
      </c>
      <c r="AG947">
        <v>2</v>
      </c>
      <c r="AH947">
        <v>0</v>
      </c>
      <c r="AI947" t="s">
        <v>1048</v>
      </c>
      <c r="AJ947">
        <v>45.863242</v>
      </c>
      <c r="AK947" t="s">
        <v>1049</v>
      </c>
      <c r="AL947">
        <v>-89.146607000000003</v>
      </c>
      <c r="AM947">
        <v>100</v>
      </c>
      <c r="AN947">
        <v>15300</v>
      </c>
      <c r="AO947" t="s">
        <v>118</v>
      </c>
      <c r="AP947">
        <v>149</v>
      </c>
      <c r="AQ947">
        <v>120</v>
      </c>
      <c r="AR947">
        <v>768</v>
      </c>
      <c r="AZ947">
        <v>1200</v>
      </c>
      <c r="BA947">
        <v>1</v>
      </c>
      <c r="BB947" t="str">
        <f t="shared" si="48"/>
        <v xml:space="preserve">N690LS  </v>
      </c>
      <c r="BC947">
        <v>1</v>
      </c>
      <c r="BE947">
        <v>0</v>
      </c>
      <c r="BF947">
        <v>0</v>
      </c>
      <c r="BG947">
        <v>0</v>
      </c>
      <c r="BH947">
        <v>15850</v>
      </c>
      <c r="BI947">
        <v>1</v>
      </c>
      <c r="BJ947">
        <v>1</v>
      </c>
      <c r="BK947">
        <v>1</v>
      </c>
      <c r="BL947">
        <v>0</v>
      </c>
      <c r="BO947">
        <v>0</v>
      </c>
      <c r="BP947">
        <v>0</v>
      </c>
      <c r="BW947" t="str">
        <f>"13:58:22.386"</f>
        <v>13:58:22.386</v>
      </c>
      <c r="CJ947">
        <v>0</v>
      </c>
      <c r="CK947">
        <v>2</v>
      </c>
      <c r="CL947">
        <v>0</v>
      </c>
      <c r="CM947">
        <v>2</v>
      </c>
      <c r="CN947">
        <v>0</v>
      </c>
      <c r="CO947">
        <v>7</v>
      </c>
      <c r="CP947" t="s">
        <v>119</v>
      </c>
      <c r="CQ947">
        <v>209</v>
      </c>
      <c r="CR947">
        <v>3</v>
      </c>
      <c r="CW947">
        <v>7256457</v>
      </c>
      <c r="CY947">
        <v>1</v>
      </c>
      <c r="CZ947">
        <v>0</v>
      </c>
      <c r="DA947">
        <v>0</v>
      </c>
      <c r="DB947">
        <v>0</v>
      </c>
      <c r="DC947">
        <v>0</v>
      </c>
      <c r="DD947">
        <v>1</v>
      </c>
      <c r="DE947">
        <v>0</v>
      </c>
      <c r="DF947">
        <v>0</v>
      </c>
      <c r="DG947">
        <v>0</v>
      </c>
      <c r="DH947">
        <v>0</v>
      </c>
      <c r="DI947">
        <v>0</v>
      </c>
    </row>
    <row r="948" spans="1:113" x14ac:dyDescent="0.3">
      <c r="A948" t="str">
        <f>"09/28/2021 13:58:22.589"</f>
        <v>09/28/2021 13:58:22.589</v>
      </c>
      <c r="C948" t="str">
        <f t="shared" si="47"/>
        <v>FFDFD3C0</v>
      </c>
      <c r="D948" t="s">
        <v>113</v>
      </c>
      <c r="E948">
        <v>7</v>
      </c>
      <c r="H948">
        <v>170</v>
      </c>
      <c r="I948" t="s">
        <v>114</v>
      </c>
      <c r="J948" t="s">
        <v>115</v>
      </c>
      <c r="K948">
        <v>0</v>
      </c>
      <c r="L948">
        <v>3</v>
      </c>
      <c r="M948">
        <v>0</v>
      </c>
      <c r="N948">
        <v>2</v>
      </c>
      <c r="O948">
        <v>1</v>
      </c>
      <c r="P948">
        <v>0</v>
      </c>
      <c r="Q948">
        <v>0</v>
      </c>
      <c r="S948" t="str">
        <f>"13:58:22.383"</f>
        <v>13:58:22.383</v>
      </c>
      <c r="T948" t="str">
        <f>"13:58:21.983"</f>
        <v>13:58:21.983</v>
      </c>
      <c r="U948" t="str">
        <f t="shared" si="46"/>
        <v>A92BC1</v>
      </c>
      <c r="V948">
        <v>0</v>
      </c>
      <c r="W948">
        <v>0</v>
      </c>
      <c r="X948">
        <v>2</v>
      </c>
      <c r="Z948">
        <v>0</v>
      </c>
      <c r="AA948">
        <v>9</v>
      </c>
      <c r="AB948">
        <v>3</v>
      </c>
      <c r="AC948">
        <v>0</v>
      </c>
      <c r="AD948">
        <v>10</v>
      </c>
      <c r="AE948">
        <v>0</v>
      </c>
      <c r="AF948">
        <v>3</v>
      </c>
      <c r="AG948">
        <v>2</v>
      </c>
      <c r="AH948">
        <v>0</v>
      </c>
      <c r="AI948" t="s">
        <v>1048</v>
      </c>
      <c r="AJ948">
        <v>45.863242</v>
      </c>
      <c r="AK948" t="s">
        <v>1049</v>
      </c>
      <c r="AL948">
        <v>-89.146607000000003</v>
      </c>
      <c r="AM948">
        <v>100</v>
      </c>
      <c r="AN948">
        <v>15300</v>
      </c>
      <c r="AO948" t="s">
        <v>118</v>
      </c>
      <c r="AP948">
        <v>149</v>
      </c>
      <c r="AQ948">
        <v>120</v>
      </c>
      <c r="AR948">
        <v>768</v>
      </c>
      <c r="AZ948">
        <v>1200</v>
      </c>
      <c r="BA948">
        <v>1</v>
      </c>
      <c r="BB948" t="str">
        <f t="shared" si="48"/>
        <v xml:space="preserve">N690LS  </v>
      </c>
      <c r="BC948">
        <v>1</v>
      </c>
      <c r="BE948">
        <v>0</v>
      </c>
      <c r="BF948">
        <v>0</v>
      </c>
      <c r="BG948">
        <v>0</v>
      </c>
      <c r="BH948">
        <v>15850</v>
      </c>
      <c r="BI948">
        <v>1</v>
      </c>
      <c r="BJ948">
        <v>1</v>
      </c>
      <c r="BK948">
        <v>1</v>
      </c>
      <c r="BL948">
        <v>0</v>
      </c>
      <c r="BO948">
        <v>0</v>
      </c>
      <c r="BP948">
        <v>0</v>
      </c>
      <c r="BW948" t="str">
        <f>"13:58:22.386"</f>
        <v>13:58:22.386</v>
      </c>
      <c r="CJ948">
        <v>0</v>
      </c>
      <c r="CK948">
        <v>2</v>
      </c>
      <c r="CL948">
        <v>0</v>
      </c>
      <c r="CM948">
        <v>2</v>
      </c>
      <c r="CN948">
        <v>0</v>
      </c>
      <c r="CO948">
        <v>7</v>
      </c>
      <c r="CP948" t="s">
        <v>119</v>
      </c>
      <c r="CQ948">
        <v>209</v>
      </c>
      <c r="CR948">
        <v>3</v>
      </c>
      <c r="CW948">
        <v>7256457</v>
      </c>
      <c r="CY948">
        <v>1</v>
      </c>
      <c r="CZ948">
        <v>0</v>
      </c>
      <c r="DA948">
        <v>1</v>
      </c>
      <c r="DB948">
        <v>0</v>
      </c>
      <c r="DC948">
        <v>0</v>
      </c>
      <c r="DD948">
        <v>1</v>
      </c>
      <c r="DE948">
        <v>0</v>
      </c>
      <c r="DF948">
        <v>0</v>
      </c>
      <c r="DG948">
        <v>0</v>
      </c>
      <c r="DH948">
        <v>0</v>
      </c>
      <c r="DI948">
        <v>0</v>
      </c>
    </row>
    <row r="949" spans="1:113" x14ac:dyDescent="0.3">
      <c r="A949" t="str">
        <f>"09/28/2021 13:58:23.574"</f>
        <v>09/28/2021 13:58:23.574</v>
      </c>
      <c r="C949" t="str">
        <f t="shared" si="47"/>
        <v>FFDFD3C0</v>
      </c>
      <c r="D949" t="s">
        <v>120</v>
      </c>
      <c r="E949">
        <v>12</v>
      </c>
      <c r="F949">
        <v>1012</v>
      </c>
      <c r="G949" t="s">
        <v>114</v>
      </c>
      <c r="J949" t="s">
        <v>121</v>
      </c>
      <c r="K949">
        <v>0</v>
      </c>
      <c r="L949">
        <v>3</v>
      </c>
      <c r="M949">
        <v>0</v>
      </c>
      <c r="N949">
        <v>2</v>
      </c>
      <c r="O949">
        <v>1</v>
      </c>
      <c r="P949">
        <v>0</v>
      </c>
      <c r="Q949">
        <v>0</v>
      </c>
      <c r="S949" t="str">
        <f>"13:58:23.398"</f>
        <v>13:58:23.398</v>
      </c>
      <c r="T949" t="str">
        <f>"13:58:22.898"</f>
        <v>13:58:22.898</v>
      </c>
      <c r="U949" t="str">
        <f t="shared" si="46"/>
        <v>A92BC1</v>
      </c>
      <c r="V949">
        <v>0</v>
      </c>
      <c r="W949">
        <v>0</v>
      </c>
      <c r="X949">
        <v>2</v>
      </c>
      <c r="Z949">
        <v>0</v>
      </c>
      <c r="AA949">
        <v>9</v>
      </c>
      <c r="AB949">
        <v>3</v>
      </c>
      <c r="AC949">
        <v>0</v>
      </c>
      <c r="AD949">
        <v>10</v>
      </c>
      <c r="AE949">
        <v>0</v>
      </c>
      <c r="AF949">
        <v>3</v>
      </c>
      <c r="AG949">
        <v>2</v>
      </c>
      <c r="AH949">
        <v>0</v>
      </c>
      <c r="AI949" t="s">
        <v>1050</v>
      </c>
      <c r="AJ949">
        <v>45.863799999999998</v>
      </c>
      <c r="AK949" t="s">
        <v>1051</v>
      </c>
      <c r="AL949">
        <v>-89.145619999999994</v>
      </c>
      <c r="AM949">
        <v>100</v>
      </c>
      <c r="AN949">
        <v>15300</v>
      </c>
      <c r="AO949" t="s">
        <v>118</v>
      </c>
      <c r="AP949">
        <v>149</v>
      </c>
      <c r="AQ949">
        <v>120</v>
      </c>
      <c r="AR949">
        <v>768</v>
      </c>
      <c r="AZ949">
        <v>1200</v>
      </c>
      <c r="BA949">
        <v>1</v>
      </c>
      <c r="BB949" t="str">
        <f t="shared" si="48"/>
        <v xml:space="preserve">N690LS  </v>
      </c>
      <c r="BC949">
        <v>1</v>
      </c>
      <c r="BE949">
        <v>0</v>
      </c>
      <c r="BF949">
        <v>0</v>
      </c>
      <c r="BG949">
        <v>0</v>
      </c>
      <c r="BH949">
        <v>15850</v>
      </c>
      <c r="BI949">
        <v>1</v>
      </c>
      <c r="BJ949">
        <v>1</v>
      </c>
      <c r="BK949">
        <v>1</v>
      </c>
      <c r="BL949">
        <v>0</v>
      </c>
      <c r="BO949">
        <v>0</v>
      </c>
      <c r="BP949">
        <v>0</v>
      </c>
      <c r="BW949" t="str">
        <f>"13:58:23.403"</f>
        <v>13:58:23.403</v>
      </c>
      <c r="CJ949">
        <v>0</v>
      </c>
      <c r="CK949">
        <v>2</v>
      </c>
      <c r="CL949">
        <v>0</v>
      </c>
      <c r="CM949">
        <v>2</v>
      </c>
      <c r="CN949">
        <v>0</v>
      </c>
      <c r="CO949">
        <v>7</v>
      </c>
      <c r="CP949" t="s">
        <v>119</v>
      </c>
      <c r="CQ949">
        <v>209</v>
      </c>
      <c r="CR949">
        <v>3</v>
      </c>
      <c r="CW949">
        <v>7256779</v>
      </c>
      <c r="CY949">
        <v>1</v>
      </c>
      <c r="CZ949">
        <v>0</v>
      </c>
      <c r="DA949">
        <v>0</v>
      </c>
      <c r="DB949">
        <v>0</v>
      </c>
      <c r="DC949">
        <v>0</v>
      </c>
      <c r="DD949">
        <v>1</v>
      </c>
      <c r="DE949">
        <v>0</v>
      </c>
      <c r="DF949">
        <v>0</v>
      </c>
      <c r="DG949">
        <v>0</v>
      </c>
      <c r="DH949">
        <v>0</v>
      </c>
      <c r="DI949">
        <v>0</v>
      </c>
    </row>
    <row r="950" spans="1:113" x14ac:dyDescent="0.3">
      <c r="A950" t="str">
        <f>"09/28/2021 13:58:23.605"</f>
        <v>09/28/2021 13:58:23.605</v>
      </c>
      <c r="C950" t="str">
        <f t="shared" si="47"/>
        <v>FFDFD3C0</v>
      </c>
      <c r="D950" t="s">
        <v>113</v>
      </c>
      <c r="E950">
        <v>7</v>
      </c>
      <c r="H950">
        <v>170</v>
      </c>
      <c r="I950" t="s">
        <v>114</v>
      </c>
      <c r="J950" t="s">
        <v>115</v>
      </c>
      <c r="K950">
        <v>0</v>
      </c>
      <c r="L950">
        <v>3</v>
      </c>
      <c r="M950">
        <v>0</v>
      </c>
      <c r="N950">
        <v>2</v>
      </c>
      <c r="O950">
        <v>1</v>
      </c>
      <c r="P950">
        <v>0</v>
      </c>
      <c r="Q950">
        <v>0</v>
      </c>
      <c r="S950" t="str">
        <f>"13:58:23.398"</f>
        <v>13:58:23.398</v>
      </c>
      <c r="T950" t="str">
        <f>"13:58:22.898"</f>
        <v>13:58:22.898</v>
      </c>
      <c r="U950" t="str">
        <f t="shared" si="46"/>
        <v>A92BC1</v>
      </c>
      <c r="V950">
        <v>0</v>
      </c>
      <c r="W950">
        <v>0</v>
      </c>
      <c r="X950">
        <v>2</v>
      </c>
      <c r="Z950">
        <v>0</v>
      </c>
      <c r="AA950">
        <v>9</v>
      </c>
      <c r="AB950">
        <v>3</v>
      </c>
      <c r="AC950">
        <v>0</v>
      </c>
      <c r="AD950">
        <v>10</v>
      </c>
      <c r="AE950">
        <v>0</v>
      </c>
      <c r="AF950">
        <v>3</v>
      </c>
      <c r="AG950">
        <v>2</v>
      </c>
      <c r="AH950">
        <v>0</v>
      </c>
      <c r="AI950" t="s">
        <v>1050</v>
      </c>
      <c r="AJ950">
        <v>45.863799999999998</v>
      </c>
      <c r="AK950" t="s">
        <v>1051</v>
      </c>
      <c r="AL950">
        <v>-89.145619999999994</v>
      </c>
      <c r="AM950">
        <v>100</v>
      </c>
      <c r="AN950">
        <v>15300</v>
      </c>
      <c r="AO950" t="s">
        <v>118</v>
      </c>
      <c r="AP950">
        <v>149</v>
      </c>
      <c r="AQ950">
        <v>120</v>
      </c>
      <c r="AR950">
        <v>768</v>
      </c>
      <c r="AZ950">
        <v>1200</v>
      </c>
      <c r="BA950">
        <v>1</v>
      </c>
      <c r="BB950" t="str">
        <f t="shared" si="48"/>
        <v xml:space="preserve">N690LS  </v>
      </c>
      <c r="BC950">
        <v>1</v>
      </c>
      <c r="BE950">
        <v>0</v>
      </c>
      <c r="BF950">
        <v>0</v>
      </c>
      <c r="BG950">
        <v>0</v>
      </c>
      <c r="BH950">
        <v>15850</v>
      </c>
      <c r="BI950">
        <v>1</v>
      </c>
      <c r="BJ950">
        <v>1</v>
      </c>
      <c r="BK950">
        <v>1</v>
      </c>
      <c r="BL950">
        <v>0</v>
      </c>
      <c r="BO950">
        <v>0</v>
      </c>
      <c r="BP950">
        <v>0</v>
      </c>
      <c r="BW950" t="str">
        <f>"13:58:23.403"</f>
        <v>13:58:23.403</v>
      </c>
      <c r="CJ950">
        <v>0</v>
      </c>
      <c r="CK950">
        <v>2</v>
      </c>
      <c r="CL950">
        <v>0</v>
      </c>
      <c r="CM950">
        <v>2</v>
      </c>
      <c r="CN950">
        <v>0</v>
      </c>
      <c r="CO950">
        <v>7</v>
      </c>
      <c r="CP950" t="s">
        <v>119</v>
      </c>
      <c r="CQ950">
        <v>209</v>
      </c>
      <c r="CR950">
        <v>3</v>
      </c>
      <c r="CW950">
        <v>7256779</v>
      </c>
      <c r="CY950">
        <v>1</v>
      </c>
      <c r="CZ950">
        <v>0</v>
      </c>
      <c r="DA950">
        <v>1</v>
      </c>
      <c r="DB950">
        <v>0</v>
      </c>
      <c r="DC950">
        <v>0</v>
      </c>
      <c r="DD950">
        <v>1</v>
      </c>
      <c r="DE950">
        <v>0</v>
      </c>
      <c r="DF950">
        <v>0</v>
      </c>
      <c r="DG950">
        <v>0</v>
      </c>
      <c r="DH950">
        <v>0</v>
      </c>
      <c r="DI950">
        <v>0</v>
      </c>
    </row>
    <row r="951" spans="1:113" x14ac:dyDescent="0.3">
      <c r="A951" t="str">
        <f>"09/28/2021 13:58:24.684"</f>
        <v>09/28/2021 13:58:24.684</v>
      </c>
      <c r="C951" t="str">
        <f t="shared" si="47"/>
        <v>FFDFD3C0</v>
      </c>
      <c r="D951" t="s">
        <v>113</v>
      </c>
      <c r="E951">
        <v>7</v>
      </c>
      <c r="H951">
        <v>170</v>
      </c>
      <c r="I951" t="s">
        <v>114</v>
      </c>
      <c r="J951" t="s">
        <v>115</v>
      </c>
      <c r="K951">
        <v>0</v>
      </c>
      <c r="L951">
        <v>3</v>
      </c>
      <c r="M951">
        <v>0</v>
      </c>
      <c r="N951">
        <v>2</v>
      </c>
      <c r="O951">
        <v>1</v>
      </c>
      <c r="P951">
        <v>0</v>
      </c>
      <c r="Q951">
        <v>0</v>
      </c>
      <c r="S951" t="str">
        <f>"13:58:24.484"</f>
        <v>13:58:24.484</v>
      </c>
      <c r="T951" t="str">
        <f>"13:58:24.084"</f>
        <v>13:58:24.084</v>
      </c>
      <c r="U951" t="str">
        <f t="shared" si="46"/>
        <v>A92BC1</v>
      </c>
      <c r="V951">
        <v>0</v>
      </c>
      <c r="W951">
        <v>0</v>
      </c>
      <c r="X951">
        <v>2</v>
      </c>
      <c r="Z951">
        <v>0</v>
      </c>
      <c r="AA951">
        <v>9</v>
      </c>
      <c r="AB951">
        <v>3</v>
      </c>
      <c r="AC951">
        <v>0</v>
      </c>
      <c r="AD951">
        <v>10</v>
      </c>
      <c r="AE951">
        <v>0</v>
      </c>
      <c r="AF951">
        <v>3</v>
      </c>
      <c r="AG951">
        <v>2</v>
      </c>
      <c r="AH951">
        <v>0</v>
      </c>
      <c r="AI951" t="s">
        <v>1052</v>
      </c>
      <c r="AJ951">
        <v>45.864421999999998</v>
      </c>
      <c r="AK951" t="s">
        <v>1053</v>
      </c>
      <c r="AL951">
        <v>-89.144568000000007</v>
      </c>
      <c r="AM951">
        <v>100</v>
      </c>
      <c r="AN951">
        <v>15300</v>
      </c>
      <c r="AO951" t="s">
        <v>118</v>
      </c>
      <c r="AP951">
        <v>150</v>
      </c>
      <c r="AQ951">
        <v>121</v>
      </c>
      <c r="AR951">
        <v>768</v>
      </c>
      <c r="AZ951">
        <v>1200</v>
      </c>
      <c r="BA951">
        <v>1</v>
      </c>
      <c r="BB951" t="str">
        <f t="shared" si="48"/>
        <v xml:space="preserve">N690LS  </v>
      </c>
      <c r="BC951">
        <v>1</v>
      </c>
      <c r="BE951">
        <v>0</v>
      </c>
      <c r="BF951">
        <v>0</v>
      </c>
      <c r="BG951">
        <v>0</v>
      </c>
      <c r="BH951">
        <v>15875</v>
      </c>
      <c r="BI951">
        <v>1</v>
      </c>
      <c r="BJ951">
        <v>1</v>
      </c>
      <c r="BK951">
        <v>1</v>
      </c>
      <c r="BL951">
        <v>0</v>
      </c>
      <c r="BO951">
        <v>0</v>
      </c>
      <c r="BP951">
        <v>0</v>
      </c>
      <c r="BW951" t="str">
        <f>"13:58:24.486"</f>
        <v>13:58:24.486</v>
      </c>
      <c r="CJ951">
        <v>0</v>
      </c>
      <c r="CK951">
        <v>2</v>
      </c>
      <c r="CL951">
        <v>0</v>
      </c>
      <c r="CM951">
        <v>2</v>
      </c>
      <c r="CN951">
        <v>0</v>
      </c>
      <c r="CO951">
        <v>7</v>
      </c>
      <c r="CP951" t="s">
        <v>119</v>
      </c>
      <c r="CQ951">
        <v>209</v>
      </c>
      <c r="CR951">
        <v>3</v>
      </c>
      <c r="CW951">
        <v>7257133</v>
      </c>
      <c r="CY951">
        <v>1</v>
      </c>
      <c r="CZ951">
        <v>0</v>
      </c>
      <c r="DA951">
        <v>0</v>
      </c>
      <c r="DB951">
        <v>0</v>
      </c>
      <c r="DC951">
        <v>0</v>
      </c>
      <c r="DD951">
        <v>1</v>
      </c>
      <c r="DE951">
        <v>0</v>
      </c>
      <c r="DF951">
        <v>0</v>
      </c>
      <c r="DG951">
        <v>0</v>
      </c>
      <c r="DH951">
        <v>0</v>
      </c>
      <c r="DI951">
        <v>0</v>
      </c>
    </row>
    <row r="952" spans="1:113" x14ac:dyDescent="0.3">
      <c r="A952" t="str">
        <f>"09/28/2021 13:58:24.684"</f>
        <v>09/28/2021 13:58:24.684</v>
      </c>
      <c r="C952" t="str">
        <f t="shared" si="47"/>
        <v>FFDFD3C0</v>
      </c>
      <c r="D952" t="s">
        <v>120</v>
      </c>
      <c r="E952">
        <v>12</v>
      </c>
      <c r="F952">
        <v>1012</v>
      </c>
      <c r="G952" t="s">
        <v>114</v>
      </c>
      <c r="J952" t="s">
        <v>121</v>
      </c>
      <c r="K952">
        <v>0</v>
      </c>
      <c r="L952">
        <v>3</v>
      </c>
      <c r="M952">
        <v>0</v>
      </c>
      <c r="N952">
        <v>2</v>
      </c>
      <c r="O952">
        <v>1</v>
      </c>
      <c r="P952">
        <v>0</v>
      </c>
      <c r="Q952">
        <v>0</v>
      </c>
      <c r="S952" t="str">
        <f>"13:58:24.484"</f>
        <v>13:58:24.484</v>
      </c>
      <c r="T952" t="str">
        <f>"13:58:24.084"</f>
        <v>13:58:24.084</v>
      </c>
      <c r="U952" t="str">
        <f t="shared" si="46"/>
        <v>A92BC1</v>
      </c>
      <c r="V952">
        <v>0</v>
      </c>
      <c r="W952">
        <v>0</v>
      </c>
      <c r="X952">
        <v>2</v>
      </c>
      <c r="Z952">
        <v>0</v>
      </c>
      <c r="AA952">
        <v>9</v>
      </c>
      <c r="AB952">
        <v>3</v>
      </c>
      <c r="AC952">
        <v>0</v>
      </c>
      <c r="AD952">
        <v>10</v>
      </c>
      <c r="AE952">
        <v>0</v>
      </c>
      <c r="AF952">
        <v>3</v>
      </c>
      <c r="AG952">
        <v>2</v>
      </c>
      <c r="AH952">
        <v>0</v>
      </c>
      <c r="AI952" t="s">
        <v>1052</v>
      </c>
      <c r="AJ952">
        <v>45.864421999999998</v>
      </c>
      <c r="AK952" t="s">
        <v>1053</v>
      </c>
      <c r="AL952">
        <v>-89.144568000000007</v>
      </c>
      <c r="AM952">
        <v>100</v>
      </c>
      <c r="AN952">
        <v>15300</v>
      </c>
      <c r="AO952" t="s">
        <v>118</v>
      </c>
      <c r="AP952">
        <v>150</v>
      </c>
      <c r="AQ952">
        <v>121</v>
      </c>
      <c r="AR952">
        <v>768</v>
      </c>
      <c r="AZ952">
        <v>1200</v>
      </c>
      <c r="BA952">
        <v>1</v>
      </c>
      <c r="BB952" t="str">
        <f t="shared" si="48"/>
        <v xml:space="preserve">N690LS  </v>
      </c>
      <c r="BC952">
        <v>1</v>
      </c>
      <c r="BE952">
        <v>0</v>
      </c>
      <c r="BF952">
        <v>0</v>
      </c>
      <c r="BG952">
        <v>0</v>
      </c>
      <c r="BH952">
        <v>15875</v>
      </c>
      <c r="BI952">
        <v>1</v>
      </c>
      <c r="BJ952">
        <v>1</v>
      </c>
      <c r="BK952">
        <v>1</v>
      </c>
      <c r="BL952">
        <v>0</v>
      </c>
      <c r="BO952">
        <v>0</v>
      </c>
      <c r="BP952">
        <v>0</v>
      </c>
      <c r="BW952" t="str">
        <f>"13:58:24.486"</f>
        <v>13:58:24.486</v>
      </c>
      <c r="CJ952">
        <v>0</v>
      </c>
      <c r="CK952">
        <v>2</v>
      </c>
      <c r="CL952">
        <v>0</v>
      </c>
      <c r="CM952">
        <v>2</v>
      </c>
      <c r="CN952">
        <v>0</v>
      </c>
      <c r="CO952">
        <v>7</v>
      </c>
      <c r="CP952" t="s">
        <v>119</v>
      </c>
      <c r="CQ952">
        <v>209</v>
      </c>
      <c r="CR952">
        <v>3</v>
      </c>
      <c r="CW952">
        <v>7257133</v>
      </c>
      <c r="CY952">
        <v>1</v>
      </c>
      <c r="CZ952">
        <v>0</v>
      </c>
      <c r="DA952">
        <v>1</v>
      </c>
      <c r="DB952">
        <v>0</v>
      </c>
      <c r="DC952">
        <v>0</v>
      </c>
      <c r="DD952">
        <v>1</v>
      </c>
      <c r="DE952">
        <v>0</v>
      </c>
      <c r="DF952">
        <v>0</v>
      </c>
      <c r="DG952">
        <v>0</v>
      </c>
      <c r="DH952">
        <v>0</v>
      </c>
      <c r="DI952">
        <v>0</v>
      </c>
    </row>
    <row r="953" spans="1:113" x14ac:dyDescent="0.3">
      <c r="A953" t="str">
        <f>"09/28/2021 13:58:25.606"</f>
        <v>09/28/2021 13:58:25.606</v>
      </c>
      <c r="C953" t="str">
        <f t="shared" si="47"/>
        <v>FFDFD3C0</v>
      </c>
      <c r="D953" t="s">
        <v>113</v>
      </c>
      <c r="E953">
        <v>7</v>
      </c>
      <c r="H953">
        <v>170</v>
      </c>
      <c r="I953" t="s">
        <v>114</v>
      </c>
      <c r="J953" t="s">
        <v>115</v>
      </c>
      <c r="K953">
        <v>0</v>
      </c>
      <c r="L953">
        <v>3</v>
      </c>
      <c r="M953">
        <v>0</v>
      </c>
      <c r="N953">
        <v>2</v>
      </c>
      <c r="O953">
        <v>1</v>
      </c>
      <c r="P953">
        <v>0</v>
      </c>
      <c r="Q953">
        <v>0</v>
      </c>
      <c r="S953" t="str">
        <f>"13:58:25.320"</f>
        <v>13:58:25.320</v>
      </c>
      <c r="T953" t="str">
        <f>"13:58:24.920"</f>
        <v>13:58:24.920</v>
      </c>
      <c r="U953" t="str">
        <f t="shared" si="46"/>
        <v>A92BC1</v>
      </c>
      <c r="V953">
        <v>0</v>
      </c>
      <c r="W953">
        <v>0</v>
      </c>
      <c r="X953">
        <v>2</v>
      </c>
      <c r="Z953">
        <v>0</v>
      </c>
      <c r="AA953">
        <v>9</v>
      </c>
      <c r="AB953">
        <v>3</v>
      </c>
      <c r="AC953">
        <v>0</v>
      </c>
      <c r="AD953">
        <v>10</v>
      </c>
      <c r="AE953">
        <v>0</v>
      </c>
      <c r="AF953">
        <v>3</v>
      </c>
      <c r="AG953">
        <v>2</v>
      </c>
      <c r="AH953">
        <v>0</v>
      </c>
      <c r="AI953" t="s">
        <v>1054</v>
      </c>
      <c r="AJ953">
        <v>45.864851000000002</v>
      </c>
      <c r="AK953" t="s">
        <v>1055</v>
      </c>
      <c r="AL953">
        <v>-89.143753000000004</v>
      </c>
      <c r="AM953">
        <v>100</v>
      </c>
      <c r="AN953">
        <v>15400</v>
      </c>
      <c r="AO953" t="s">
        <v>118</v>
      </c>
      <c r="AP953">
        <v>150</v>
      </c>
      <c r="AQ953">
        <v>121</v>
      </c>
      <c r="AR953">
        <v>768</v>
      </c>
      <c r="AZ953">
        <v>1200</v>
      </c>
      <c r="BA953">
        <v>1</v>
      </c>
      <c r="BB953" t="str">
        <f t="shared" si="48"/>
        <v xml:space="preserve">N690LS  </v>
      </c>
      <c r="BC953">
        <v>1</v>
      </c>
      <c r="BE953">
        <v>0</v>
      </c>
      <c r="BF953">
        <v>0</v>
      </c>
      <c r="BG953">
        <v>0</v>
      </c>
      <c r="BH953">
        <v>15900</v>
      </c>
      <c r="BI953">
        <v>1</v>
      </c>
      <c r="BJ953">
        <v>1</v>
      </c>
      <c r="BK953">
        <v>1</v>
      </c>
      <c r="BL953">
        <v>0</v>
      </c>
      <c r="BO953">
        <v>0</v>
      </c>
      <c r="BP953">
        <v>0</v>
      </c>
      <c r="BW953" t="str">
        <f>"13:58:25.322"</f>
        <v>13:58:25.322</v>
      </c>
      <c r="CJ953">
        <v>0</v>
      </c>
      <c r="CK953">
        <v>2</v>
      </c>
      <c r="CL953">
        <v>0</v>
      </c>
      <c r="CM953">
        <v>2</v>
      </c>
      <c r="CN953">
        <v>0</v>
      </c>
      <c r="CO953">
        <v>7</v>
      </c>
      <c r="CP953" t="s">
        <v>119</v>
      </c>
      <c r="CQ953">
        <v>197</v>
      </c>
      <c r="CR953">
        <v>0</v>
      </c>
      <c r="CW953">
        <v>16076912</v>
      </c>
      <c r="CY953">
        <v>1</v>
      </c>
      <c r="CZ953">
        <v>0</v>
      </c>
      <c r="DA953">
        <v>0</v>
      </c>
      <c r="DB953">
        <v>0</v>
      </c>
      <c r="DC953">
        <v>0</v>
      </c>
      <c r="DD953">
        <v>1</v>
      </c>
      <c r="DE953">
        <v>0</v>
      </c>
      <c r="DF953">
        <v>0</v>
      </c>
      <c r="DG953">
        <v>0</v>
      </c>
      <c r="DH953">
        <v>0</v>
      </c>
      <c r="DI953">
        <v>0</v>
      </c>
    </row>
    <row r="954" spans="1:113" x14ac:dyDescent="0.3">
      <c r="A954" t="str">
        <f>"09/28/2021 13:58:25.700"</f>
        <v>09/28/2021 13:58:25.700</v>
      </c>
      <c r="C954" t="str">
        <f t="shared" si="47"/>
        <v>FFDFD3C0</v>
      </c>
      <c r="D954" t="s">
        <v>120</v>
      </c>
      <c r="E954">
        <v>12</v>
      </c>
      <c r="F954">
        <v>1012</v>
      </c>
      <c r="G954" t="s">
        <v>114</v>
      </c>
      <c r="J954" t="s">
        <v>121</v>
      </c>
      <c r="K954">
        <v>0</v>
      </c>
      <c r="L954">
        <v>3</v>
      </c>
      <c r="M954">
        <v>0</v>
      </c>
      <c r="N954">
        <v>2</v>
      </c>
      <c r="O954">
        <v>1</v>
      </c>
      <c r="P954">
        <v>0</v>
      </c>
      <c r="Q954">
        <v>0</v>
      </c>
      <c r="S954" t="str">
        <f>"13:58:25.320"</f>
        <v>13:58:25.320</v>
      </c>
      <c r="T954" t="str">
        <f>"13:58:24.920"</f>
        <v>13:58:24.920</v>
      </c>
      <c r="U954" t="str">
        <f t="shared" si="46"/>
        <v>A92BC1</v>
      </c>
      <c r="V954">
        <v>0</v>
      </c>
      <c r="W954">
        <v>0</v>
      </c>
      <c r="X954">
        <v>2</v>
      </c>
      <c r="Z954">
        <v>0</v>
      </c>
      <c r="AA954">
        <v>9</v>
      </c>
      <c r="AB954">
        <v>3</v>
      </c>
      <c r="AC954">
        <v>0</v>
      </c>
      <c r="AD954">
        <v>10</v>
      </c>
      <c r="AE954">
        <v>0</v>
      </c>
      <c r="AF954">
        <v>3</v>
      </c>
      <c r="AG954">
        <v>2</v>
      </c>
      <c r="AH954">
        <v>0</v>
      </c>
      <c r="AI954" t="s">
        <v>1054</v>
      </c>
      <c r="AJ954">
        <v>45.864851000000002</v>
      </c>
      <c r="AK954" t="s">
        <v>1055</v>
      </c>
      <c r="AL954">
        <v>-89.143753000000004</v>
      </c>
      <c r="AM954">
        <v>100</v>
      </c>
      <c r="AN954">
        <v>15400</v>
      </c>
      <c r="AO954" t="s">
        <v>118</v>
      </c>
      <c r="AP954">
        <v>150</v>
      </c>
      <c r="AQ954">
        <v>121</v>
      </c>
      <c r="AR954">
        <v>768</v>
      </c>
      <c r="AZ954">
        <v>1200</v>
      </c>
      <c r="BA954">
        <v>1</v>
      </c>
      <c r="BB954" t="str">
        <f t="shared" si="48"/>
        <v xml:space="preserve">N690LS  </v>
      </c>
      <c r="BC954">
        <v>1</v>
      </c>
      <c r="BE954">
        <v>0</v>
      </c>
      <c r="BF954">
        <v>0</v>
      </c>
      <c r="BG954">
        <v>0</v>
      </c>
      <c r="BH954">
        <v>15900</v>
      </c>
      <c r="BI954">
        <v>1</v>
      </c>
      <c r="BJ954">
        <v>1</v>
      </c>
      <c r="BK954">
        <v>1</v>
      </c>
      <c r="BL954">
        <v>0</v>
      </c>
      <c r="BO954">
        <v>0</v>
      </c>
      <c r="BP954">
        <v>0</v>
      </c>
      <c r="BW954" t="str">
        <f>"13:58:25.322"</f>
        <v>13:58:25.322</v>
      </c>
      <c r="CJ954">
        <v>0</v>
      </c>
      <c r="CK954">
        <v>2</v>
      </c>
      <c r="CL954">
        <v>0</v>
      </c>
      <c r="CM954">
        <v>2</v>
      </c>
      <c r="CN954">
        <v>0</v>
      </c>
      <c r="CO954">
        <v>7</v>
      </c>
      <c r="CP954" t="s">
        <v>119</v>
      </c>
      <c r="CQ954">
        <v>197</v>
      </c>
      <c r="CR954">
        <v>0</v>
      </c>
      <c r="CW954">
        <v>16076912</v>
      </c>
      <c r="CY954">
        <v>1</v>
      </c>
      <c r="CZ954">
        <v>0</v>
      </c>
      <c r="DA954">
        <v>1</v>
      </c>
      <c r="DB954">
        <v>0</v>
      </c>
      <c r="DC954">
        <v>0</v>
      </c>
      <c r="DD954">
        <v>1</v>
      </c>
      <c r="DE954">
        <v>0</v>
      </c>
      <c r="DF954">
        <v>0</v>
      </c>
      <c r="DG954">
        <v>0</v>
      </c>
      <c r="DH954">
        <v>0</v>
      </c>
      <c r="DI954">
        <v>0</v>
      </c>
    </row>
    <row r="955" spans="1:113" x14ac:dyDescent="0.3">
      <c r="A955" t="str">
        <f>"09/28/2021 13:58:26.563"</f>
        <v>09/28/2021 13:58:26.563</v>
      </c>
      <c r="C955" t="str">
        <f t="shared" si="47"/>
        <v>FFDFD3C0</v>
      </c>
      <c r="D955" t="s">
        <v>120</v>
      </c>
      <c r="E955">
        <v>12</v>
      </c>
      <c r="F955">
        <v>1012</v>
      </c>
      <c r="G955" t="s">
        <v>114</v>
      </c>
      <c r="J955" t="s">
        <v>121</v>
      </c>
      <c r="K955">
        <v>0</v>
      </c>
      <c r="L955">
        <v>3</v>
      </c>
      <c r="M955">
        <v>0</v>
      </c>
      <c r="N955">
        <v>2</v>
      </c>
      <c r="O955">
        <v>1</v>
      </c>
      <c r="P955">
        <v>0</v>
      </c>
      <c r="Q955">
        <v>0</v>
      </c>
      <c r="S955" t="str">
        <f>"13:58:26.219"</f>
        <v>13:58:26.219</v>
      </c>
      <c r="T955" t="str">
        <f>"13:58:25.819"</f>
        <v>13:58:25.819</v>
      </c>
      <c r="U955" t="str">
        <f t="shared" si="46"/>
        <v>A92BC1</v>
      </c>
      <c r="V955">
        <v>0</v>
      </c>
      <c r="W955">
        <v>0</v>
      </c>
      <c r="X955">
        <v>2</v>
      </c>
      <c r="Z955">
        <v>0</v>
      </c>
      <c r="AA955">
        <v>9</v>
      </c>
      <c r="AB955">
        <v>3</v>
      </c>
      <c r="AC955">
        <v>0</v>
      </c>
      <c r="AD955">
        <v>10</v>
      </c>
      <c r="AE955">
        <v>0</v>
      </c>
      <c r="AF955">
        <v>3</v>
      </c>
      <c r="AG955">
        <v>2</v>
      </c>
      <c r="AH955">
        <v>0</v>
      </c>
      <c r="AI955" t="s">
        <v>1056</v>
      </c>
      <c r="AJ955">
        <v>45.865366000000002</v>
      </c>
      <c r="AK955" t="s">
        <v>1057</v>
      </c>
      <c r="AL955">
        <v>-89.142872999999994</v>
      </c>
      <c r="AM955">
        <v>100</v>
      </c>
      <c r="AN955">
        <v>15400</v>
      </c>
      <c r="AO955" t="s">
        <v>118</v>
      </c>
      <c r="AP955">
        <v>151</v>
      </c>
      <c r="AQ955">
        <v>121</v>
      </c>
      <c r="AR955">
        <v>768</v>
      </c>
      <c r="AZ955">
        <v>1200</v>
      </c>
      <c r="BA955">
        <v>1</v>
      </c>
      <c r="BB955" t="str">
        <f t="shared" si="48"/>
        <v xml:space="preserve">N690LS  </v>
      </c>
      <c r="BC955">
        <v>1</v>
      </c>
      <c r="BE955">
        <v>0</v>
      </c>
      <c r="BF955">
        <v>0</v>
      </c>
      <c r="BG955">
        <v>0</v>
      </c>
      <c r="BH955">
        <v>15900</v>
      </c>
      <c r="BI955">
        <v>1</v>
      </c>
      <c r="BJ955">
        <v>1</v>
      </c>
      <c r="BK955">
        <v>1</v>
      </c>
      <c r="BL955">
        <v>0</v>
      </c>
      <c r="BO955">
        <v>0</v>
      </c>
      <c r="BP955">
        <v>0</v>
      </c>
      <c r="BW955" t="str">
        <f>"13:58:26.222"</f>
        <v>13:58:26.222</v>
      </c>
      <c r="CJ955">
        <v>0</v>
      </c>
      <c r="CK955">
        <v>2</v>
      </c>
      <c r="CL955">
        <v>0</v>
      </c>
      <c r="CM955">
        <v>2</v>
      </c>
      <c r="CN955">
        <v>0</v>
      </c>
      <c r="CO955">
        <v>7</v>
      </c>
      <c r="CP955" t="s">
        <v>119</v>
      </c>
      <c r="CQ955">
        <v>209</v>
      </c>
      <c r="CR955">
        <v>3</v>
      </c>
      <c r="CW955">
        <v>7257706</v>
      </c>
      <c r="CY955">
        <v>1</v>
      </c>
      <c r="CZ955">
        <v>0</v>
      </c>
      <c r="DA955">
        <v>0</v>
      </c>
      <c r="DB955">
        <v>0</v>
      </c>
      <c r="DC955">
        <v>0</v>
      </c>
      <c r="DD955">
        <v>1</v>
      </c>
      <c r="DE955">
        <v>0</v>
      </c>
      <c r="DF955">
        <v>0</v>
      </c>
      <c r="DG955">
        <v>0</v>
      </c>
      <c r="DH955">
        <v>0</v>
      </c>
      <c r="DI955">
        <v>0</v>
      </c>
    </row>
    <row r="956" spans="1:113" x14ac:dyDescent="0.3">
      <c r="A956" t="str">
        <f>"09/28/2021 13:58:26.563"</f>
        <v>09/28/2021 13:58:26.563</v>
      </c>
      <c r="C956" t="str">
        <f t="shared" si="47"/>
        <v>FFDFD3C0</v>
      </c>
      <c r="D956" t="s">
        <v>113</v>
      </c>
      <c r="E956">
        <v>7</v>
      </c>
      <c r="H956">
        <v>170</v>
      </c>
      <c r="I956" t="s">
        <v>114</v>
      </c>
      <c r="J956" t="s">
        <v>115</v>
      </c>
      <c r="K956">
        <v>0</v>
      </c>
      <c r="L956">
        <v>3</v>
      </c>
      <c r="M956">
        <v>0</v>
      </c>
      <c r="N956">
        <v>2</v>
      </c>
      <c r="O956">
        <v>1</v>
      </c>
      <c r="P956">
        <v>0</v>
      </c>
      <c r="Q956">
        <v>0</v>
      </c>
      <c r="S956" t="str">
        <f>"13:58:26.219"</f>
        <v>13:58:26.219</v>
      </c>
      <c r="T956" t="str">
        <f>"13:58:25.819"</f>
        <v>13:58:25.819</v>
      </c>
      <c r="U956" t="str">
        <f t="shared" si="46"/>
        <v>A92BC1</v>
      </c>
      <c r="V956">
        <v>0</v>
      </c>
      <c r="W956">
        <v>0</v>
      </c>
      <c r="X956">
        <v>2</v>
      </c>
      <c r="Z956">
        <v>0</v>
      </c>
      <c r="AA956">
        <v>9</v>
      </c>
      <c r="AB956">
        <v>3</v>
      </c>
      <c r="AC956">
        <v>0</v>
      </c>
      <c r="AD956">
        <v>10</v>
      </c>
      <c r="AE956">
        <v>0</v>
      </c>
      <c r="AF956">
        <v>3</v>
      </c>
      <c r="AG956">
        <v>2</v>
      </c>
      <c r="AH956">
        <v>0</v>
      </c>
      <c r="AI956" t="s">
        <v>1056</v>
      </c>
      <c r="AJ956">
        <v>45.865366000000002</v>
      </c>
      <c r="AK956" t="s">
        <v>1057</v>
      </c>
      <c r="AL956">
        <v>-89.142872999999994</v>
      </c>
      <c r="AM956">
        <v>100</v>
      </c>
      <c r="AN956">
        <v>15400</v>
      </c>
      <c r="AO956" t="s">
        <v>118</v>
      </c>
      <c r="AP956">
        <v>151</v>
      </c>
      <c r="AQ956">
        <v>121</v>
      </c>
      <c r="AR956">
        <v>768</v>
      </c>
      <c r="AZ956">
        <v>1200</v>
      </c>
      <c r="BA956">
        <v>1</v>
      </c>
      <c r="BB956" t="str">
        <f t="shared" si="48"/>
        <v xml:space="preserve">N690LS  </v>
      </c>
      <c r="BC956">
        <v>1</v>
      </c>
      <c r="BE956">
        <v>0</v>
      </c>
      <c r="BF956">
        <v>0</v>
      </c>
      <c r="BG956">
        <v>0</v>
      </c>
      <c r="BH956">
        <v>15900</v>
      </c>
      <c r="BI956">
        <v>1</v>
      </c>
      <c r="BJ956">
        <v>1</v>
      </c>
      <c r="BK956">
        <v>1</v>
      </c>
      <c r="BL956">
        <v>0</v>
      </c>
      <c r="BO956">
        <v>0</v>
      </c>
      <c r="BP956">
        <v>0</v>
      </c>
      <c r="BW956" t="str">
        <f>"13:58:26.222"</f>
        <v>13:58:26.222</v>
      </c>
      <c r="CJ956">
        <v>0</v>
      </c>
      <c r="CK956">
        <v>2</v>
      </c>
      <c r="CL956">
        <v>0</v>
      </c>
      <c r="CM956">
        <v>2</v>
      </c>
      <c r="CN956">
        <v>0</v>
      </c>
      <c r="CO956">
        <v>7</v>
      </c>
      <c r="CP956" t="s">
        <v>119</v>
      </c>
      <c r="CQ956">
        <v>209</v>
      </c>
      <c r="CR956">
        <v>3</v>
      </c>
      <c r="CW956">
        <v>7257706</v>
      </c>
      <c r="CY956">
        <v>1</v>
      </c>
      <c r="CZ956">
        <v>0</v>
      </c>
      <c r="DA956">
        <v>1</v>
      </c>
      <c r="DB956">
        <v>0</v>
      </c>
      <c r="DC956">
        <v>0</v>
      </c>
      <c r="DD956">
        <v>1</v>
      </c>
      <c r="DE956">
        <v>0</v>
      </c>
      <c r="DF956">
        <v>0</v>
      </c>
      <c r="DG956">
        <v>0</v>
      </c>
      <c r="DH956">
        <v>0</v>
      </c>
      <c r="DI956">
        <v>0</v>
      </c>
    </row>
    <row r="957" spans="1:113" x14ac:dyDescent="0.3">
      <c r="A957" t="str">
        <f>"09/28/2021 13:58:27.500"</f>
        <v>09/28/2021 13:58:27.500</v>
      </c>
      <c r="C957" t="str">
        <f t="shared" si="47"/>
        <v>FFDFD3C0</v>
      </c>
      <c r="D957" t="s">
        <v>113</v>
      </c>
      <c r="E957">
        <v>7</v>
      </c>
      <c r="H957">
        <v>170</v>
      </c>
      <c r="I957" t="s">
        <v>114</v>
      </c>
      <c r="J957" t="s">
        <v>115</v>
      </c>
      <c r="K957">
        <v>0</v>
      </c>
      <c r="L957">
        <v>3</v>
      </c>
      <c r="M957">
        <v>0</v>
      </c>
      <c r="N957">
        <v>2</v>
      </c>
      <c r="O957">
        <v>1</v>
      </c>
      <c r="P957">
        <v>0</v>
      </c>
      <c r="Q957">
        <v>0</v>
      </c>
      <c r="S957" t="str">
        <f>"13:58:27.281"</f>
        <v>13:58:27.281</v>
      </c>
      <c r="T957" t="str">
        <f>"13:58:26.781"</f>
        <v>13:58:26.781</v>
      </c>
      <c r="U957" t="str">
        <f t="shared" si="46"/>
        <v>A92BC1</v>
      </c>
      <c r="V957">
        <v>0</v>
      </c>
      <c r="W957">
        <v>0</v>
      </c>
      <c r="X957">
        <v>2</v>
      </c>
      <c r="Z957">
        <v>0</v>
      </c>
      <c r="AA957">
        <v>9</v>
      </c>
      <c r="AB957">
        <v>3</v>
      </c>
      <c r="AC957">
        <v>0</v>
      </c>
      <c r="AD957">
        <v>10</v>
      </c>
      <c r="AE957">
        <v>0</v>
      </c>
      <c r="AF957">
        <v>3</v>
      </c>
      <c r="AG957">
        <v>2</v>
      </c>
      <c r="AH957">
        <v>0</v>
      </c>
      <c r="AI957" t="s">
        <v>1058</v>
      </c>
      <c r="AJ957">
        <v>45.866010000000003</v>
      </c>
      <c r="AK957" t="s">
        <v>1059</v>
      </c>
      <c r="AL957">
        <v>-89.141756999999998</v>
      </c>
      <c r="AM957">
        <v>100</v>
      </c>
      <c r="AN957">
        <v>15400</v>
      </c>
      <c r="AO957" t="s">
        <v>118</v>
      </c>
      <c r="AP957">
        <v>151</v>
      </c>
      <c r="AQ957">
        <v>121</v>
      </c>
      <c r="AR957">
        <v>768</v>
      </c>
      <c r="AZ957">
        <v>1200</v>
      </c>
      <c r="BA957">
        <v>1</v>
      </c>
      <c r="BB957" t="str">
        <f t="shared" si="48"/>
        <v xml:space="preserve">N690LS  </v>
      </c>
      <c r="BC957">
        <v>1</v>
      </c>
      <c r="BE957">
        <v>0</v>
      </c>
      <c r="BF957">
        <v>0</v>
      </c>
      <c r="BG957">
        <v>0</v>
      </c>
      <c r="BH957">
        <v>15900</v>
      </c>
      <c r="BI957">
        <v>1</v>
      </c>
      <c r="BJ957">
        <v>1</v>
      </c>
      <c r="BK957">
        <v>1</v>
      </c>
      <c r="BL957">
        <v>0</v>
      </c>
      <c r="BO957">
        <v>0</v>
      </c>
      <c r="BP957">
        <v>0</v>
      </c>
      <c r="BW957" t="str">
        <f>"13:58:27.282"</f>
        <v>13:58:27.282</v>
      </c>
      <c r="CJ957">
        <v>0</v>
      </c>
      <c r="CK957">
        <v>2</v>
      </c>
      <c r="CL957">
        <v>0</v>
      </c>
      <c r="CM957">
        <v>2</v>
      </c>
      <c r="CN957">
        <v>0</v>
      </c>
      <c r="CO957">
        <v>6</v>
      </c>
      <c r="CP957" t="s">
        <v>119</v>
      </c>
      <c r="CQ957">
        <v>209</v>
      </c>
      <c r="CR957">
        <v>2</v>
      </c>
      <c r="CW957">
        <v>11846969</v>
      </c>
      <c r="CY957">
        <v>1</v>
      </c>
      <c r="CZ957">
        <v>0</v>
      </c>
      <c r="DA957">
        <v>0</v>
      </c>
      <c r="DB957">
        <v>0</v>
      </c>
      <c r="DC957">
        <v>0</v>
      </c>
      <c r="DD957">
        <v>1</v>
      </c>
      <c r="DE957">
        <v>0</v>
      </c>
      <c r="DF957">
        <v>0</v>
      </c>
      <c r="DG957">
        <v>0</v>
      </c>
      <c r="DH957">
        <v>0</v>
      </c>
      <c r="DI957">
        <v>0</v>
      </c>
    </row>
    <row r="958" spans="1:113" x14ac:dyDescent="0.3">
      <c r="A958" t="str">
        <f>"09/28/2021 13:58:27.516"</f>
        <v>09/28/2021 13:58:27.516</v>
      </c>
      <c r="C958" t="str">
        <f t="shared" si="47"/>
        <v>FFDFD3C0</v>
      </c>
      <c r="D958" t="s">
        <v>120</v>
      </c>
      <c r="E958">
        <v>12</v>
      </c>
      <c r="F958">
        <v>1012</v>
      </c>
      <c r="G958" t="s">
        <v>114</v>
      </c>
      <c r="J958" t="s">
        <v>121</v>
      </c>
      <c r="K958">
        <v>0</v>
      </c>
      <c r="L958">
        <v>3</v>
      </c>
      <c r="M958">
        <v>0</v>
      </c>
      <c r="N958">
        <v>2</v>
      </c>
      <c r="O958">
        <v>1</v>
      </c>
      <c r="P958">
        <v>0</v>
      </c>
      <c r="Q958">
        <v>0</v>
      </c>
      <c r="S958" t="str">
        <f>"13:58:27.281"</f>
        <v>13:58:27.281</v>
      </c>
      <c r="T958" t="str">
        <f>"13:58:26.781"</f>
        <v>13:58:26.781</v>
      </c>
      <c r="U958" t="str">
        <f t="shared" si="46"/>
        <v>A92BC1</v>
      </c>
      <c r="V958">
        <v>0</v>
      </c>
      <c r="W958">
        <v>0</v>
      </c>
      <c r="X958">
        <v>2</v>
      </c>
      <c r="Z958">
        <v>0</v>
      </c>
      <c r="AA958">
        <v>9</v>
      </c>
      <c r="AB958">
        <v>3</v>
      </c>
      <c r="AC958">
        <v>0</v>
      </c>
      <c r="AD958">
        <v>10</v>
      </c>
      <c r="AE958">
        <v>0</v>
      </c>
      <c r="AF958">
        <v>3</v>
      </c>
      <c r="AG958">
        <v>2</v>
      </c>
      <c r="AH958">
        <v>0</v>
      </c>
      <c r="AI958" t="s">
        <v>1058</v>
      </c>
      <c r="AJ958">
        <v>45.866010000000003</v>
      </c>
      <c r="AK958" t="s">
        <v>1059</v>
      </c>
      <c r="AL958">
        <v>-89.141756999999998</v>
      </c>
      <c r="AM958">
        <v>100</v>
      </c>
      <c r="AN958">
        <v>15400</v>
      </c>
      <c r="AO958" t="s">
        <v>118</v>
      </c>
      <c r="AP958">
        <v>151</v>
      </c>
      <c r="AQ958">
        <v>121</v>
      </c>
      <c r="AR958">
        <v>768</v>
      </c>
      <c r="AZ958">
        <v>1200</v>
      </c>
      <c r="BA958">
        <v>1</v>
      </c>
      <c r="BB958" t="str">
        <f t="shared" si="48"/>
        <v xml:space="preserve">N690LS  </v>
      </c>
      <c r="BC958">
        <v>1</v>
      </c>
      <c r="BE958">
        <v>0</v>
      </c>
      <c r="BF958">
        <v>0</v>
      </c>
      <c r="BG958">
        <v>0</v>
      </c>
      <c r="BH958">
        <v>15900</v>
      </c>
      <c r="BI958">
        <v>1</v>
      </c>
      <c r="BJ958">
        <v>1</v>
      </c>
      <c r="BK958">
        <v>1</v>
      </c>
      <c r="BL958">
        <v>0</v>
      </c>
      <c r="BO958">
        <v>0</v>
      </c>
      <c r="BP958">
        <v>0</v>
      </c>
      <c r="BW958" t="str">
        <f>"13:58:27.282"</f>
        <v>13:58:27.282</v>
      </c>
      <c r="CJ958">
        <v>0</v>
      </c>
      <c r="CK958">
        <v>2</v>
      </c>
      <c r="CL958">
        <v>0</v>
      </c>
      <c r="CM958">
        <v>2</v>
      </c>
      <c r="CN958">
        <v>0</v>
      </c>
      <c r="CO958">
        <v>6</v>
      </c>
      <c r="CP958" t="s">
        <v>119</v>
      </c>
      <c r="CQ958">
        <v>209</v>
      </c>
      <c r="CR958">
        <v>2</v>
      </c>
      <c r="CW958">
        <v>11846969</v>
      </c>
      <c r="CY958">
        <v>1</v>
      </c>
      <c r="CZ958">
        <v>0</v>
      </c>
      <c r="DA958">
        <v>1</v>
      </c>
      <c r="DB958">
        <v>0</v>
      </c>
      <c r="DC958">
        <v>0</v>
      </c>
      <c r="DD958">
        <v>1</v>
      </c>
      <c r="DE958">
        <v>0</v>
      </c>
      <c r="DF958">
        <v>0</v>
      </c>
      <c r="DG958">
        <v>0</v>
      </c>
      <c r="DH958">
        <v>0</v>
      </c>
      <c r="DI958">
        <v>0</v>
      </c>
    </row>
    <row r="959" spans="1:113" x14ac:dyDescent="0.3">
      <c r="A959" t="str">
        <f>"09/28/2021 13:58:28.469"</f>
        <v>09/28/2021 13:58:28.469</v>
      </c>
      <c r="C959" t="str">
        <f t="shared" si="47"/>
        <v>FFDFD3C0</v>
      </c>
      <c r="D959" t="s">
        <v>113</v>
      </c>
      <c r="E959">
        <v>7</v>
      </c>
      <c r="H959">
        <v>170</v>
      </c>
      <c r="I959" t="s">
        <v>114</v>
      </c>
      <c r="J959" t="s">
        <v>115</v>
      </c>
      <c r="K959">
        <v>0</v>
      </c>
      <c r="L959">
        <v>3</v>
      </c>
      <c r="M959">
        <v>0</v>
      </c>
      <c r="N959">
        <v>2</v>
      </c>
      <c r="O959">
        <v>1</v>
      </c>
      <c r="P959">
        <v>0</v>
      </c>
      <c r="Q959">
        <v>0</v>
      </c>
      <c r="S959" t="str">
        <f>"13:58:28.258"</f>
        <v>13:58:28.258</v>
      </c>
      <c r="T959" t="str">
        <f>"13:58:27.858"</f>
        <v>13:58:27.858</v>
      </c>
      <c r="U959" t="str">
        <f t="shared" si="46"/>
        <v>A92BC1</v>
      </c>
      <c r="V959">
        <v>0</v>
      </c>
      <c r="W959">
        <v>0</v>
      </c>
      <c r="X959">
        <v>2</v>
      </c>
      <c r="Z959">
        <v>0</v>
      </c>
      <c r="AA959">
        <v>9</v>
      </c>
      <c r="AB959">
        <v>3</v>
      </c>
      <c r="AC959">
        <v>0</v>
      </c>
      <c r="AD959">
        <v>10</v>
      </c>
      <c r="AE959">
        <v>0</v>
      </c>
      <c r="AF959">
        <v>3</v>
      </c>
      <c r="AG959">
        <v>2</v>
      </c>
      <c r="AH959">
        <v>0</v>
      </c>
      <c r="AI959" t="s">
        <v>1060</v>
      </c>
      <c r="AJ959">
        <v>45.866568000000001</v>
      </c>
      <c r="AK959" t="s">
        <v>1061</v>
      </c>
      <c r="AL959">
        <v>-89.140727999999996</v>
      </c>
      <c r="AM959">
        <v>100</v>
      </c>
      <c r="AN959">
        <v>15400</v>
      </c>
      <c r="AO959" t="s">
        <v>118</v>
      </c>
      <c r="AP959">
        <v>151</v>
      </c>
      <c r="AQ959">
        <v>122</v>
      </c>
      <c r="AR959">
        <v>768</v>
      </c>
      <c r="AZ959">
        <v>1200</v>
      </c>
      <c r="BA959">
        <v>1</v>
      </c>
      <c r="BB959" t="str">
        <f t="shared" si="48"/>
        <v xml:space="preserve">N690LS  </v>
      </c>
      <c r="BC959">
        <v>1</v>
      </c>
      <c r="BE959">
        <v>0</v>
      </c>
      <c r="BF959">
        <v>0</v>
      </c>
      <c r="BG959">
        <v>0</v>
      </c>
      <c r="BH959">
        <v>15925</v>
      </c>
      <c r="BI959">
        <v>1</v>
      </c>
      <c r="BJ959">
        <v>1</v>
      </c>
      <c r="BK959">
        <v>1</v>
      </c>
      <c r="BL959">
        <v>0</v>
      </c>
      <c r="BO959">
        <v>0</v>
      </c>
      <c r="BP959">
        <v>0</v>
      </c>
      <c r="BW959" t="str">
        <f>"13:58:28.261"</f>
        <v>13:58:28.261</v>
      </c>
      <c r="CJ959">
        <v>0</v>
      </c>
      <c r="CK959">
        <v>2</v>
      </c>
      <c r="CL959">
        <v>0</v>
      </c>
      <c r="CM959">
        <v>2</v>
      </c>
      <c r="CN959">
        <v>0</v>
      </c>
      <c r="CO959">
        <v>7</v>
      </c>
      <c r="CP959" t="s">
        <v>119</v>
      </c>
      <c r="CQ959">
        <v>197</v>
      </c>
      <c r="CR959">
        <v>1</v>
      </c>
      <c r="CW959">
        <v>7494431</v>
      </c>
      <c r="CY959">
        <v>1</v>
      </c>
      <c r="CZ959">
        <v>0</v>
      </c>
      <c r="DA959">
        <v>0</v>
      </c>
      <c r="DB959">
        <v>0</v>
      </c>
      <c r="DC959">
        <v>0</v>
      </c>
      <c r="DD959">
        <v>1</v>
      </c>
      <c r="DE959">
        <v>0</v>
      </c>
      <c r="DF959">
        <v>0</v>
      </c>
      <c r="DG959">
        <v>0</v>
      </c>
      <c r="DH959">
        <v>0</v>
      </c>
      <c r="DI959">
        <v>0</v>
      </c>
    </row>
    <row r="960" spans="1:113" x14ac:dyDescent="0.3">
      <c r="A960" t="str">
        <f>"09/28/2021 13:58:28.485"</f>
        <v>09/28/2021 13:58:28.485</v>
      </c>
      <c r="C960" t="str">
        <f t="shared" si="47"/>
        <v>FFDFD3C0</v>
      </c>
      <c r="D960" t="s">
        <v>120</v>
      </c>
      <c r="E960">
        <v>12</v>
      </c>
      <c r="F960">
        <v>1012</v>
      </c>
      <c r="G960" t="s">
        <v>114</v>
      </c>
      <c r="J960" t="s">
        <v>121</v>
      </c>
      <c r="K960">
        <v>0</v>
      </c>
      <c r="L960">
        <v>3</v>
      </c>
      <c r="M960">
        <v>0</v>
      </c>
      <c r="N960">
        <v>2</v>
      </c>
      <c r="O960">
        <v>1</v>
      </c>
      <c r="P960">
        <v>0</v>
      </c>
      <c r="Q960">
        <v>0</v>
      </c>
      <c r="S960" t="str">
        <f>"13:58:28.258"</f>
        <v>13:58:28.258</v>
      </c>
      <c r="T960" t="str">
        <f>"13:58:27.858"</f>
        <v>13:58:27.858</v>
      </c>
      <c r="U960" t="str">
        <f t="shared" si="46"/>
        <v>A92BC1</v>
      </c>
      <c r="V960">
        <v>0</v>
      </c>
      <c r="W960">
        <v>0</v>
      </c>
      <c r="X960">
        <v>2</v>
      </c>
      <c r="Z960">
        <v>0</v>
      </c>
      <c r="AA960">
        <v>9</v>
      </c>
      <c r="AB960">
        <v>3</v>
      </c>
      <c r="AC960">
        <v>0</v>
      </c>
      <c r="AD960">
        <v>10</v>
      </c>
      <c r="AE960">
        <v>0</v>
      </c>
      <c r="AF960">
        <v>3</v>
      </c>
      <c r="AG960">
        <v>2</v>
      </c>
      <c r="AH960">
        <v>0</v>
      </c>
      <c r="AI960" t="s">
        <v>1060</v>
      </c>
      <c r="AJ960">
        <v>45.866568000000001</v>
      </c>
      <c r="AK960" t="s">
        <v>1061</v>
      </c>
      <c r="AL960">
        <v>-89.140727999999996</v>
      </c>
      <c r="AM960">
        <v>100</v>
      </c>
      <c r="AN960">
        <v>15400</v>
      </c>
      <c r="AO960" t="s">
        <v>118</v>
      </c>
      <c r="AP960">
        <v>151</v>
      </c>
      <c r="AQ960">
        <v>122</v>
      </c>
      <c r="AR960">
        <v>768</v>
      </c>
      <c r="AZ960">
        <v>1200</v>
      </c>
      <c r="BA960">
        <v>1</v>
      </c>
      <c r="BB960" t="str">
        <f t="shared" si="48"/>
        <v xml:space="preserve">N690LS  </v>
      </c>
      <c r="BC960">
        <v>1</v>
      </c>
      <c r="BE960">
        <v>0</v>
      </c>
      <c r="BF960">
        <v>0</v>
      </c>
      <c r="BG960">
        <v>0</v>
      </c>
      <c r="BH960">
        <v>15925</v>
      </c>
      <c r="BI960">
        <v>1</v>
      </c>
      <c r="BJ960">
        <v>1</v>
      </c>
      <c r="BK960">
        <v>1</v>
      </c>
      <c r="BL960">
        <v>0</v>
      </c>
      <c r="BO960">
        <v>0</v>
      </c>
      <c r="BP960">
        <v>0</v>
      </c>
      <c r="BW960" t="str">
        <f>"13:58:28.261"</f>
        <v>13:58:28.261</v>
      </c>
      <c r="CJ960">
        <v>0</v>
      </c>
      <c r="CK960">
        <v>2</v>
      </c>
      <c r="CL960">
        <v>0</v>
      </c>
      <c r="CM960">
        <v>2</v>
      </c>
      <c r="CN960">
        <v>0</v>
      </c>
      <c r="CO960">
        <v>7</v>
      </c>
      <c r="CP960" t="s">
        <v>119</v>
      </c>
      <c r="CQ960">
        <v>197</v>
      </c>
      <c r="CR960">
        <v>1</v>
      </c>
      <c r="CW960">
        <v>7494431</v>
      </c>
      <c r="CY960">
        <v>1</v>
      </c>
      <c r="CZ960">
        <v>0</v>
      </c>
      <c r="DA960">
        <v>1</v>
      </c>
      <c r="DB960">
        <v>0</v>
      </c>
      <c r="DC960">
        <v>0</v>
      </c>
      <c r="DD960">
        <v>1</v>
      </c>
      <c r="DE960">
        <v>0</v>
      </c>
      <c r="DF960">
        <v>0</v>
      </c>
      <c r="DG960">
        <v>0</v>
      </c>
      <c r="DH960">
        <v>0</v>
      </c>
      <c r="DI960">
        <v>0</v>
      </c>
    </row>
    <row r="961" spans="1:113" x14ac:dyDescent="0.3">
      <c r="A961" t="str">
        <f>"09/28/2021 13:58:29.427"</f>
        <v>09/28/2021 13:58:29.427</v>
      </c>
      <c r="C961" t="str">
        <f t="shared" si="47"/>
        <v>FFDFD3C0</v>
      </c>
      <c r="D961" t="s">
        <v>113</v>
      </c>
      <c r="E961">
        <v>7</v>
      </c>
      <c r="H961">
        <v>170</v>
      </c>
      <c r="I961" t="s">
        <v>114</v>
      </c>
      <c r="J961" t="s">
        <v>115</v>
      </c>
      <c r="K961">
        <v>0</v>
      </c>
      <c r="L961">
        <v>3</v>
      </c>
      <c r="M961">
        <v>0</v>
      </c>
      <c r="N961">
        <v>2</v>
      </c>
      <c r="O961">
        <v>1</v>
      </c>
      <c r="P961">
        <v>0</v>
      </c>
      <c r="Q961">
        <v>0</v>
      </c>
      <c r="S961" t="str">
        <f>"13:58:29.211"</f>
        <v>13:58:29.211</v>
      </c>
      <c r="T961" t="str">
        <f>"13:58:28.711"</f>
        <v>13:58:28.711</v>
      </c>
      <c r="U961" t="str">
        <f t="shared" si="46"/>
        <v>A92BC1</v>
      </c>
      <c r="V961">
        <v>0</v>
      </c>
      <c r="W961">
        <v>0</v>
      </c>
      <c r="X961">
        <v>2</v>
      </c>
      <c r="Z961">
        <v>0</v>
      </c>
      <c r="AA961">
        <v>9</v>
      </c>
      <c r="AB961">
        <v>3</v>
      </c>
      <c r="AC961">
        <v>0</v>
      </c>
      <c r="AD961">
        <v>10</v>
      </c>
      <c r="AE961">
        <v>0</v>
      </c>
      <c r="AF961">
        <v>3</v>
      </c>
      <c r="AG961">
        <v>2</v>
      </c>
      <c r="AH961">
        <v>0</v>
      </c>
      <c r="AI961" t="s">
        <v>1062</v>
      </c>
      <c r="AJ961">
        <v>45.867040000000003</v>
      </c>
      <c r="AK961" t="s">
        <v>1063</v>
      </c>
      <c r="AL961">
        <v>-89.139848000000001</v>
      </c>
      <c r="AM961">
        <v>100</v>
      </c>
      <c r="AN961">
        <v>15400</v>
      </c>
      <c r="AO961" t="s">
        <v>118</v>
      </c>
      <c r="AP961">
        <v>152</v>
      </c>
      <c r="AQ961">
        <v>122</v>
      </c>
      <c r="AR961">
        <v>768</v>
      </c>
      <c r="AZ961">
        <v>1200</v>
      </c>
      <c r="BA961">
        <v>1</v>
      </c>
      <c r="BB961" t="str">
        <f t="shared" si="48"/>
        <v xml:space="preserve">N690LS  </v>
      </c>
      <c r="BC961">
        <v>1</v>
      </c>
      <c r="BE961">
        <v>0</v>
      </c>
      <c r="BF961">
        <v>0</v>
      </c>
      <c r="BG961">
        <v>0</v>
      </c>
      <c r="BH961">
        <v>15925</v>
      </c>
      <c r="BI961">
        <v>1</v>
      </c>
      <c r="BJ961">
        <v>1</v>
      </c>
      <c r="BK961">
        <v>1</v>
      </c>
      <c r="BL961">
        <v>0</v>
      </c>
      <c r="BO961">
        <v>0</v>
      </c>
      <c r="BP961">
        <v>0</v>
      </c>
      <c r="BW961" t="str">
        <f>"13:58:29.213"</f>
        <v>13:58:29.213</v>
      </c>
      <c r="CJ961">
        <v>0</v>
      </c>
      <c r="CK961">
        <v>2</v>
      </c>
      <c r="CL961">
        <v>0</v>
      </c>
      <c r="CM961">
        <v>2</v>
      </c>
      <c r="CN961">
        <v>0</v>
      </c>
      <c r="CO961">
        <v>7</v>
      </c>
      <c r="CP961" t="s">
        <v>119</v>
      </c>
      <c r="CQ961">
        <v>209</v>
      </c>
      <c r="CR961">
        <v>3</v>
      </c>
      <c r="CW961">
        <v>7258665</v>
      </c>
      <c r="CY961">
        <v>1</v>
      </c>
      <c r="CZ961">
        <v>0</v>
      </c>
      <c r="DA961">
        <v>0</v>
      </c>
      <c r="DB961">
        <v>0</v>
      </c>
      <c r="DC961">
        <v>0</v>
      </c>
      <c r="DD961">
        <v>1</v>
      </c>
      <c r="DE961">
        <v>0</v>
      </c>
      <c r="DF961">
        <v>0</v>
      </c>
      <c r="DG961">
        <v>0</v>
      </c>
      <c r="DH961">
        <v>0</v>
      </c>
      <c r="DI961">
        <v>0</v>
      </c>
    </row>
    <row r="962" spans="1:113" x14ac:dyDescent="0.3">
      <c r="A962" t="str">
        <f>"09/28/2021 13:58:29.427"</f>
        <v>09/28/2021 13:58:29.427</v>
      </c>
      <c r="C962" t="str">
        <f t="shared" si="47"/>
        <v>FFDFD3C0</v>
      </c>
      <c r="D962" t="s">
        <v>120</v>
      </c>
      <c r="E962">
        <v>12</v>
      </c>
      <c r="F962">
        <v>1012</v>
      </c>
      <c r="G962" t="s">
        <v>114</v>
      </c>
      <c r="J962" t="s">
        <v>121</v>
      </c>
      <c r="K962">
        <v>0</v>
      </c>
      <c r="L962">
        <v>3</v>
      </c>
      <c r="M962">
        <v>0</v>
      </c>
      <c r="N962">
        <v>2</v>
      </c>
      <c r="O962">
        <v>1</v>
      </c>
      <c r="P962">
        <v>0</v>
      </c>
      <c r="Q962">
        <v>0</v>
      </c>
      <c r="S962" t="str">
        <f>"13:58:29.211"</f>
        <v>13:58:29.211</v>
      </c>
      <c r="T962" t="str">
        <f>"13:58:28.711"</f>
        <v>13:58:28.711</v>
      </c>
      <c r="U962" t="str">
        <f t="shared" ref="U962:U1025" si="49">"A92BC1"</f>
        <v>A92BC1</v>
      </c>
      <c r="V962">
        <v>0</v>
      </c>
      <c r="W962">
        <v>0</v>
      </c>
      <c r="X962">
        <v>2</v>
      </c>
      <c r="Z962">
        <v>0</v>
      </c>
      <c r="AA962">
        <v>9</v>
      </c>
      <c r="AB962">
        <v>3</v>
      </c>
      <c r="AC962">
        <v>0</v>
      </c>
      <c r="AD962">
        <v>10</v>
      </c>
      <c r="AE962">
        <v>0</v>
      </c>
      <c r="AF962">
        <v>3</v>
      </c>
      <c r="AG962">
        <v>2</v>
      </c>
      <c r="AH962">
        <v>0</v>
      </c>
      <c r="AI962" t="s">
        <v>1062</v>
      </c>
      <c r="AJ962">
        <v>45.867040000000003</v>
      </c>
      <c r="AK962" t="s">
        <v>1063</v>
      </c>
      <c r="AL962">
        <v>-89.139848000000001</v>
      </c>
      <c r="AM962">
        <v>100</v>
      </c>
      <c r="AN962">
        <v>15400</v>
      </c>
      <c r="AO962" t="s">
        <v>118</v>
      </c>
      <c r="AP962">
        <v>152</v>
      </c>
      <c r="AQ962">
        <v>122</v>
      </c>
      <c r="AR962">
        <v>768</v>
      </c>
      <c r="AZ962">
        <v>1200</v>
      </c>
      <c r="BA962">
        <v>1</v>
      </c>
      <c r="BB962" t="str">
        <f t="shared" si="48"/>
        <v xml:space="preserve">N690LS  </v>
      </c>
      <c r="BC962">
        <v>1</v>
      </c>
      <c r="BE962">
        <v>0</v>
      </c>
      <c r="BF962">
        <v>0</v>
      </c>
      <c r="BG962">
        <v>0</v>
      </c>
      <c r="BH962">
        <v>15925</v>
      </c>
      <c r="BI962">
        <v>1</v>
      </c>
      <c r="BJ962">
        <v>1</v>
      </c>
      <c r="BK962">
        <v>1</v>
      </c>
      <c r="BL962">
        <v>0</v>
      </c>
      <c r="BO962">
        <v>0</v>
      </c>
      <c r="BP962">
        <v>0</v>
      </c>
      <c r="BW962" t="str">
        <f>"13:58:29.213"</f>
        <v>13:58:29.213</v>
      </c>
      <c r="CJ962">
        <v>0</v>
      </c>
      <c r="CK962">
        <v>2</v>
      </c>
      <c r="CL962">
        <v>0</v>
      </c>
      <c r="CM962">
        <v>2</v>
      </c>
      <c r="CN962">
        <v>0</v>
      </c>
      <c r="CO962">
        <v>7</v>
      </c>
      <c r="CP962" t="s">
        <v>119</v>
      </c>
      <c r="CQ962">
        <v>209</v>
      </c>
      <c r="CR962">
        <v>3</v>
      </c>
      <c r="CW962">
        <v>7258665</v>
      </c>
      <c r="CY962">
        <v>1</v>
      </c>
      <c r="CZ962">
        <v>0</v>
      </c>
      <c r="DA962">
        <v>1</v>
      </c>
      <c r="DB962">
        <v>0</v>
      </c>
      <c r="DC962">
        <v>0</v>
      </c>
      <c r="DD962">
        <v>1</v>
      </c>
      <c r="DE962">
        <v>0</v>
      </c>
      <c r="DF962">
        <v>0</v>
      </c>
      <c r="DG962">
        <v>0</v>
      </c>
      <c r="DH962">
        <v>0</v>
      </c>
      <c r="DI962">
        <v>0</v>
      </c>
    </row>
    <row r="963" spans="1:113" x14ac:dyDescent="0.3">
      <c r="A963" t="str">
        <f>"09/28/2021 13:58:30.521"</f>
        <v>09/28/2021 13:58:30.521</v>
      </c>
      <c r="C963" t="str">
        <f t="shared" si="47"/>
        <v>FFDFD3C0</v>
      </c>
      <c r="D963" t="s">
        <v>113</v>
      </c>
      <c r="E963">
        <v>7</v>
      </c>
      <c r="H963">
        <v>170</v>
      </c>
      <c r="I963" t="s">
        <v>114</v>
      </c>
      <c r="J963" t="s">
        <v>115</v>
      </c>
      <c r="K963">
        <v>0</v>
      </c>
      <c r="L963">
        <v>3</v>
      </c>
      <c r="M963">
        <v>0</v>
      </c>
      <c r="N963">
        <v>2</v>
      </c>
      <c r="O963">
        <v>1</v>
      </c>
      <c r="P963">
        <v>0</v>
      </c>
      <c r="Q963">
        <v>0</v>
      </c>
      <c r="S963" t="str">
        <f>"13:58:30.266"</f>
        <v>13:58:30.266</v>
      </c>
      <c r="T963" t="str">
        <f>"13:58:29.766"</f>
        <v>13:58:29.766</v>
      </c>
      <c r="U963" t="str">
        <f t="shared" si="49"/>
        <v>A92BC1</v>
      </c>
      <c r="V963">
        <v>0</v>
      </c>
      <c r="W963">
        <v>0</v>
      </c>
      <c r="X963">
        <v>2</v>
      </c>
      <c r="Z963">
        <v>0</v>
      </c>
      <c r="AA963">
        <v>9</v>
      </c>
      <c r="AB963">
        <v>3</v>
      </c>
      <c r="AC963">
        <v>0</v>
      </c>
      <c r="AD963">
        <v>10</v>
      </c>
      <c r="AE963">
        <v>0</v>
      </c>
      <c r="AF963">
        <v>3</v>
      </c>
      <c r="AG963">
        <v>2</v>
      </c>
      <c r="AH963">
        <v>0</v>
      </c>
      <c r="AI963" t="s">
        <v>1064</v>
      </c>
      <c r="AJ963">
        <v>45.867683999999997</v>
      </c>
      <c r="AK963" t="s">
        <v>1065</v>
      </c>
      <c r="AL963">
        <v>-89.138732000000005</v>
      </c>
      <c r="AM963">
        <v>100</v>
      </c>
      <c r="AN963">
        <v>15400</v>
      </c>
      <c r="AO963" t="s">
        <v>118</v>
      </c>
      <c r="AP963">
        <v>152</v>
      </c>
      <c r="AQ963">
        <v>122</v>
      </c>
      <c r="AR963">
        <v>768</v>
      </c>
      <c r="AZ963">
        <v>1200</v>
      </c>
      <c r="BA963">
        <v>1</v>
      </c>
      <c r="BB963" t="str">
        <f t="shared" si="48"/>
        <v xml:space="preserve">N690LS  </v>
      </c>
      <c r="BC963">
        <v>1</v>
      </c>
      <c r="BE963">
        <v>0</v>
      </c>
      <c r="BF963">
        <v>0</v>
      </c>
      <c r="BG963">
        <v>0</v>
      </c>
      <c r="BH963">
        <v>15950</v>
      </c>
      <c r="BI963">
        <v>1</v>
      </c>
      <c r="BJ963">
        <v>1</v>
      </c>
      <c r="BK963">
        <v>1</v>
      </c>
      <c r="BL963">
        <v>0</v>
      </c>
      <c r="BO963">
        <v>0</v>
      </c>
      <c r="BP963">
        <v>0</v>
      </c>
      <c r="BW963" t="str">
        <f>"13:58:30.273"</f>
        <v>13:58:30.273</v>
      </c>
      <c r="CJ963">
        <v>0</v>
      </c>
      <c r="CK963">
        <v>2</v>
      </c>
      <c r="CL963">
        <v>0</v>
      </c>
      <c r="CM963">
        <v>2</v>
      </c>
      <c r="CN963">
        <v>0</v>
      </c>
      <c r="CO963">
        <v>7</v>
      </c>
      <c r="CP963" t="s">
        <v>119</v>
      </c>
      <c r="CQ963">
        <v>209</v>
      </c>
      <c r="CR963">
        <v>3</v>
      </c>
      <c r="CW963">
        <v>7259020</v>
      </c>
      <c r="CY963">
        <v>1</v>
      </c>
      <c r="CZ963">
        <v>0</v>
      </c>
      <c r="DA963">
        <v>0</v>
      </c>
      <c r="DB963">
        <v>0</v>
      </c>
      <c r="DC963">
        <v>0</v>
      </c>
      <c r="DD963">
        <v>1</v>
      </c>
      <c r="DE963">
        <v>0</v>
      </c>
      <c r="DF963">
        <v>0</v>
      </c>
      <c r="DG963">
        <v>0</v>
      </c>
      <c r="DH963">
        <v>0</v>
      </c>
      <c r="DI963">
        <v>0</v>
      </c>
    </row>
    <row r="964" spans="1:113" x14ac:dyDescent="0.3">
      <c r="A964" t="str">
        <f>"09/28/2021 13:58:30.521"</f>
        <v>09/28/2021 13:58:30.521</v>
      </c>
      <c r="C964" t="str">
        <f t="shared" si="47"/>
        <v>FFDFD3C0</v>
      </c>
      <c r="D964" t="s">
        <v>120</v>
      </c>
      <c r="E964">
        <v>12</v>
      </c>
      <c r="F964">
        <v>1012</v>
      </c>
      <c r="G964" t="s">
        <v>114</v>
      </c>
      <c r="J964" t="s">
        <v>121</v>
      </c>
      <c r="K964">
        <v>0</v>
      </c>
      <c r="L964">
        <v>3</v>
      </c>
      <c r="M964">
        <v>0</v>
      </c>
      <c r="N964">
        <v>2</v>
      </c>
      <c r="O964">
        <v>1</v>
      </c>
      <c r="P964">
        <v>0</v>
      </c>
      <c r="Q964">
        <v>0</v>
      </c>
      <c r="S964" t="str">
        <f>"13:58:30.266"</f>
        <v>13:58:30.266</v>
      </c>
      <c r="T964" t="str">
        <f>"13:58:29.766"</f>
        <v>13:58:29.766</v>
      </c>
      <c r="U964" t="str">
        <f t="shared" si="49"/>
        <v>A92BC1</v>
      </c>
      <c r="V964">
        <v>0</v>
      </c>
      <c r="W964">
        <v>0</v>
      </c>
      <c r="X964">
        <v>2</v>
      </c>
      <c r="Z964">
        <v>0</v>
      </c>
      <c r="AA964">
        <v>9</v>
      </c>
      <c r="AB964">
        <v>3</v>
      </c>
      <c r="AC964">
        <v>0</v>
      </c>
      <c r="AD964">
        <v>10</v>
      </c>
      <c r="AE964">
        <v>0</v>
      </c>
      <c r="AF964">
        <v>3</v>
      </c>
      <c r="AG964">
        <v>2</v>
      </c>
      <c r="AH964">
        <v>0</v>
      </c>
      <c r="AI964" t="s">
        <v>1064</v>
      </c>
      <c r="AJ964">
        <v>45.867683999999997</v>
      </c>
      <c r="AK964" t="s">
        <v>1065</v>
      </c>
      <c r="AL964">
        <v>-89.138732000000005</v>
      </c>
      <c r="AM964">
        <v>100</v>
      </c>
      <c r="AN964">
        <v>15400</v>
      </c>
      <c r="AO964" t="s">
        <v>118</v>
      </c>
      <c r="AP964">
        <v>152</v>
      </c>
      <c r="AQ964">
        <v>122</v>
      </c>
      <c r="AR964">
        <v>768</v>
      </c>
      <c r="AZ964">
        <v>1200</v>
      </c>
      <c r="BA964">
        <v>1</v>
      </c>
      <c r="BB964" t="str">
        <f t="shared" si="48"/>
        <v xml:space="preserve">N690LS  </v>
      </c>
      <c r="BC964">
        <v>1</v>
      </c>
      <c r="BE964">
        <v>0</v>
      </c>
      <c r="BF964">
        <v>0</v>
      </c>
      <c r="BG964">
        <v>0</v>
      </c>
      <c r="BH964">
        <v>15950</v>
      </c>
      <c r="BI964">
        <v>1</v>
      </c>
      <c r="BJ964">
        <v>1</v>
      </c>
      <c r="BK964">
        <v>1</v>
      </c>
      <c r="BL964">
        <v>0</v>
      </c>
      <c r="BO964">
        <v>0</v>
      </c>
      <c r="BP964">
        <v>0</v>
      </c>
      <c r="BW964" t="str">
        <f>"13:58:30.273"</f>
        <v>13:58:30.273</v>
      </c>
      <c r="CJ964">
        <v>0</v>
      </c>
      <c r="CK964">
        <v>2</v>
      </c>
      <c r="CL964">
        <v>0</v>
      </c>
      <c r="CM964">
        <v>2</v>
      </c>
      <c r="CN964">
        <v>0</v>
      </c>
      <c r="CO964">
        <v>7</v>
      </c>
      <c r="CP964" t="s">
        <v>119</v>
      </c>
      <c r="CQ964">
        <v>209</v>
      </c>
      <c r="CR964">
        <v>3</v>
      </c>
      <c r="CW964">
        <v>7259020</v>
      </c>
      <c r="CY964">
        <v>1</v>
      </c>
      <c r="CZ964">
        <v>0</v>
      </c>
      <c r="DA964">
        <v>1</v>
      </c>
      <c r="DB964">
        <v>0</v>
      </c>
      <c r="DC964">
        <v>0</v>
      </c>
      <c r="DD964">
        <v>1</v>
      </c>
      <c r="DE964">
        <v>0</v>
      </c>
      <c r="DF964">
        <v>0</v>
      </c>
      <c r="DG964">
        <v>0</v>
      </c>
      <c r="DH964">
        <v>0</v>
      </c>
      <c r="DI964">
        <v>0</v>
      </c>
    </row>
    <row r="965" spans="1:113" x14ac:dyDescent="0.3">
      <c r="A965" t="str">
        <f>"09/28/2021 13:58:31.396"</f>
        <v>09/28/2021 13:58:31.396</v>
      </c>
      <c r="C965" t="str">
        <f t="shared" si="47"/>
        <v>FFDFD3C0</v>
      </c>
      <c r="D965" t="s">
        <v>113</v>
      </c>
      <c r="E965">
        <v>7</v>
      </c>
      <c r="H965">
        <v>170</v>
      </c>
      <c r="I965" t="s">
        <v>114</v>
      </c>
      <c r="J965" t="s">
        <v>115</v>
      </c>
      <c r="K965">
        <v>0</v>
      </c>
      <c r="L965">
        <v>3</v>
      </c>
      <c r="M965">
        <v>0</v>
      </c>
      <c r="N965">
        <v>2</v>
      </c>
      <c r="O965">
        <v>1</v>
      </c>
      <c r="P965">
        <v>0</v>
      </c>
      <c r="Q965">
        <v>0</v>
      </c>
      <c r="S965" t="str">
        <f>"13:58:31.211"</f>
        <v>13:58:31.211</v>
      </c>
      <c r="T965" t="str">
        <f>"13:58:30.811"</f>
        <v>13:58:30.811</v>
      </c>
      <c r="U965" t="str">
        <f t="shared" si="49"/>
        <v>A92BC1</v>
      </c>
      <c r="V965">
        <v>0</v>
      </c>
      <c r="W965">
        <v>0</v>
      </c>
      <c r="X965">
        <v>2</v>
      </c>
      <c r="Z965">
        <v>0</v>
      </c>
      <c r="AA965">
        <v>9</v>
      </c>
      <c r="AB965">
        <v>3</v>
      </c>
      <c r="AC965">
        <v>0</v>
      </c>
      <c r="AD965">
        <v>10</v>
      </c>
      <c r="AE965">
        <v>0</v>
      </c>
      <c r="AF965">
        <v>3</v>
      </c>
      <c r="AG965">
        <v>2</v>
      </c>
      <c r="AH965">
        <v>0</v>
      </c>
      <c r="AI965" t="s">
        <v>1066</v>
      </c>
      <c r="AJ965">
        <v>45.868198999999997</v>
      </c>
      <c r="AK965" t="s">
        <v>1067</v>
      </c>
      <c r="AL965">
        <v>-89.137831000000006</v>
      </c>
      <c r="AM965">
        <v>100</v>
      </c>
      <c r="AN965">
        <v>15400</v>
      </c>
      <c r="AO965" t="s">
        <v>118</v>
      </c>
      <c r="AP965">
        <v>153</v>
      </c>
      <c r="AQ965">
        <v>122</v>
      </c>
      <c r="AR965">
        <v>768</v>
      </c>
      <c r="AZ965">
        <v>1200</v>
      </c>
      <c r="BA965">
        <v>1</v>
      </c>
      <c r="BB965" t="str">
        <f t="shared" si="48"/>
        <v xml:space="preserve">N690LS  </v>
      </c>
      <c r="BC965">
        <v>1</v>
      </c>
      <c r="BE965">
        <v>0</v>
      </c>
      <c r="BF965">
        <v>0</v>
      </c>
      <c r="BG965">
        <v>0</v>
      </c>
      <c r="BH965">
        <v>15975</v>
      </c>
      <c r="BI965">
        <v>1</v>
      </c>
      <c r="BJ965">
        <v>1</v>
      </c>
      <c r="BK965">
        <v>1</v>
      </c>
      <c r="BL965">
        <v>0</v>
      </c>
      <c r="BO965">
        <v>0</v>
      </c>
      <c r="BP965">
        <v>0</v>
      </c>
      <c r="BW965" t="str">
        <f>"13:58:31.217"</f>
        <v>13:58:31.217</v>
      </c>
      <c r="CJ965">
        <v>0</v>
      </c>
      <c r="CK965">
        <v>2</v>
      </c>
      <c r="CL965">
        <v>0</v>
      </c>
      <c r="CM965">
        <v>2</v>
      </c>
      <c r="CN965">
        <v>0</v>
      </c>
      <c r="CO965">
        <v>7</v>
      </c>
      <c r="CP965" t="s">
        <v>119</v>
      </c>
      <c r="CQ965">
        <v>197</v>
      </c>
      <c r="CR965">
        <v>0</v>
      </c>
      <c r="CW965">
        <v>16078652</v>
      </c>
      <c r="CY965">
        <v>1</v>
      </c>
      <c r="CZ965">
        <v>0</v>
      </c>
      <c r="DA965">
        <v>0</v>
      </c>
      <c r="DB965">
        <v>0</v>
      </c>
      <c r="DC965">
        <v>0</v>
      </c>
      <c r="DD965">
        <v>1</v>
      </c>
      <c r="DE965">
        <v>0</v>
      </c>
      <c r="DF965">
        <v>0</v>
      </c>
      <c r="DG965">
        <v>0</v>
      </c>
      <c r="DH965">
        <v>0</v>
      </c>
      <c r="DI965">
        <v>0</v>
      </c>
    </row>
    <row r="966" spans="1:113" x14ac:dyDescent="0.3">
      <c r="A966" t="str">
        <f>"09/28/2021 13:58:31.396"</f>
        <v>09/28/2021 13:58:31.396</v>
      </c>
      <c r="C966" t="str">
        <f t="shared" si="47"/>
        <v>FFDFD3C0</v>
      </c>
      <c r="D966" t="s">
        <v>120</v>
      </c>
      <c r="E966">
        <v>12</v>
      </c>
      <c r="F966">
        <v>1012</v>
      </c>
      <c r="G966" t="s">
        <v>114</v>
      </c>
      <c r="J966" t="s">
        <v>121</v>
      </c>
      <c r="K966">
        <v>0</v>
      </c>
      <c r="L966">
        <v>3</v>
      </c>
      <c r="M966">
        <v>0</v>
      </c>
      <c r="N966">
        <v>2</v>
      </c>
      <c r="O966">
        <v>1</v>
      </c>
      <c r="P966">
        <v>0</v>
      </c>
      <c r="Q966">
        <v>0</v>
      </c>
      <c r="S966" t="str">
        <f>"13:58:31.211"</f>
        <v>13:58:31.211</v>
      </c>
      <c r="T966" t="str">
        <f>"13:58:30.811"</f>
        <v>13:58:30.811</v>
      </c>
      <c r="U966" t="str">
        <f t="shared" si="49"/>
        <v>A92BC1</v>
      </c>
      <c r="V966">
        <v>0</v>
      </c>
      <c r="W966">
        <v>0</v>
      </c>
      <c r="X966">
        <v>2</v>
      </c>
      <c r="Z966">
        <v>0</v>
      </c>
      <c r="AA966">
        <v>9</v>
      </c>
      <c r="AB966">
        <v>3</v>
      </c>
      <c r="AC966">
        <v>0</v>
      </c>
      <c r="AD966">
        <v>10</v>
      </c>
      <c r="AE966">
        <v>0</v>
      </c>
      <c r="AF966">
        <v>3</v>
      </c>
      <c r="AG966">
        <v>2</v>
      </c>
      <c r="AH966">
        <v>0</v>
      </c>
      <c r="AI966" t="s">
        <v>1066</v>
      </c>
      <c r="AJ966">
        <v>45.868198999999997</v>
      </c>
      <c r="AK966" t="s">
        <v>1067</v>
      </c>
      <c r="AL966">
        <v>-89.137831000000006</v>
      </c>
      <c r="AM966">
        <v>100</v>
      </c>
      <c r="AN966">
        <v>15400</v>
      </c>
      <c r="AO966" t="s">
        <v>118</v>
      </c>
      <c r="AP966">
        <v>153</v>
      </c>
      <c r="AQ966">
        <v>122</v>
      </c>
      <c r="AR966">
        <v>768</v>
      </c>
      <c r="AZ966">
        <v>1200</v>
      </c>
      <c r="BA966">
        <v>1</v>
      </c>
      <c r="BB966" t="str">
        <f t="shared" si="48"/>
        <v xml:space="preserve">N690LS  </v>
      </c>
      <c r="BC966">
        <v>1</v>
      </c>
      <c r="BE966">
        <v>0</v>
      </c>
      <c r="BF966">
        <v>0</v>
      </c>
      <c r="BG966">
        <v>0</v>
      </c>
      <c r="BH966">
        <v>15975</v>
      </c>
      <c r="BI966">
        <v>1</v>
      </c>
      <c r="BJ966">
        <v>1</v>
      </c>
      <c r="BK966">
        <v>1</v>
      </c>
      <c r="BL966">
        <v>0</v>
      </c>
      <c r="BO966">
        <v>0</v>
      </c>
      <c r="BP966">
        <v>0</v>
      </c>
      <c r="BW966" t="str">
        <f>"13:58:31.217"</f>
        <v>13:58:31.217</v>
      </c>
      <c r="CJ966">
        <v>0</v>
      </c>
      <c r="CK966">
        <v>2</v>
      </c>
      <c r="CL966">
        <v>0</v>
      </c>
      <c r="CM966">
        <v>2</v>
      </c>
      <c r="CN966">
        <v>0</v>
      </c>
      <c r="CO966">
        <v>7</v>
      </c>
      <c r="CP966" t="s">
        <v>119</v>
      </c>
      <c r="CQ966">
        <v>197</v>
      </c>
      <c r="CR966">
        <v>0</v>
      </c>
      <c r="CW966">
        <v>16078652</v>
      </c>
      <c r="CY966">
        <v>1</v>
      </c>
      <c r="CZ966">
        <v>0</v>
      </c>
      <c r="DA966">
        <v>1</v>
      </c>
      <c r="DB966">
        <v>0</v>
      </c>
      <c r="DC966">
        <v>0</v>
      </c>
      <c r="DD966">
        <v>1</v>
      </c>
      <c r="DE966">
        <v>0</v>
      </c>
      <c r="DF966">
        <v>0</v>
      </c>
      <c r="DG966">
        <v>0</v>
      </c>
      <c r="DH966">
        <v>0</v>
      </c>
      <c r="DI966">
        <v>0</v>
      </c>
    </row>
    <row r="967" spans="1:113" x14ac:dyDescent="0.3">
      <c r="A967" t="str">
        <f>"09/28/2021 13:58:32.386"</f>
        <v>09/28/2021 13:58:32.386</v>
      </c>
      <c r="C967" t="str">
        <f t="shared" si="47"/>
        <v>FFDFD3C0</v>
      </c>
      <c r="D967" t="s">
        <v>113</v>
      </c>
      <c r="E967">
        <v>7</v>
      </c>
      <c r="H967">
        <v>170</v>
      </c>
      <c r="I967" t="s">
        <v>114</v>
      </c>
      <c r="J967" t="s">
        <v>115</v>
      </c>
      <c r="K967">
        <v>0</v>
      </c>
      <c r="L967">
        <v>3</v>
      </c>
      <c r="M967">
        <v>0</v>
      </c>
      <c r="N967">
        <v>2</v>
      </c>
      <c r="O967">
        <v>1</v>
      </c>
      <c r="P967">
        <v>0</v>
      </c>
      <c r="Q967">
        <v>0</v>
      </c>
      <c r="S967" t="str">
        <f>"13:58:32.148"</f>
        <v>13:58:32.148</v>
      </c>
      <c r="T967" t="str">
        <f>"13:58:31.648"</f>
        <v>13:58:31.648</v>
      </c>
      <c r="U967" t="str">
        <f t="shared" si="49"/>
        <v>A92BC1</v>
      </c>
      <c r="V967">
        <v>0</v>
      </c>
      <c r="W967">
        <v>0</v>
      </c>
      <c r="X967">
        <v>2</v>
      </c>
      <c r="Z967">
        <v>0</v>
      </c>
      <c r="AA967">
        <v>9</v>
      </c>
      <c r="AB967">
        <v>3</v>
      </c>
      <c r="AC967">
        <v>0</v>
      </c>
      <c r="AD967">
        <v>10</v>
      </c>
      <c r="AE967">
        <v>0</v>
      </c>
      <c r="AF967">
        <v>3</v>
      </c>
      <c r="AG967">
        <v>2</v>
      </c>
      <c r="AH967">
        <v>0</v>
      </c>
      <c r="AI967" t="s">
        <v>1068</v>
      </c>
      <c r="AJ967">
        <v>45.868735000000001</v>
      </c>
      <c r="AK967" t="s">
        <v>1069</v>
      </c>
      <c r="AL967">
        <v>-89.136843999999996</v>
      </c>
      <c r="AM967">
        <v>100</v>
      </c>
      <c r="AN967">
        <v>15400</v>
      </c>
      <c r="AO967" t="s">
        <v>118</v>
      </c>
      <c r="AP967">
        <v>153</v>
      </c>
      <c r="AQ967">
        <v>123</v>
      </c>
      <c r="AR967">
        <v>768</v>
      </c>
      <c r="AZ967">
        <v>1200</v>
      </c>
      <c r="BA967">
        <v>1</v>
      </c>
      <c r="BB967" t="str">
        <f t="shared" si="48"/>
        <v xml:space="preserve">N690LS  </v>
      </c>
      <c r="BC967">
        <v>1</v>
      </c>
      <c r="BE967">
        <v>0</v>
      </c>
      <c r="BF967">
        <v>0</v>
      </c>
      <c r="BG967">
        <v>0</v>
      </c>
      <c r="BH967">
        <v>15975</v>
      </c>
      <c r="BI967">
        <v>1</v>
      </c>
      <c r="BJ967">
        <v>1</v>
      </c>
      <c r="BK967">
        <v>1</v>
      </c>
      <c r="BL967">
        <v>0</v>
      </c>
      <c r="BO967">
        <v>0</v>
      </c>
      <c r="BP967">
        <v>0</v>
      </c>
      <c r="BW967" t="str">
        <f>"13:58:32.154"</f>
        <v>13:58:32.154</v>
      </c>
      <c r="CJ967">
        <v>0</v>
      </c>
      <c r="CK967">
        <v>2</v>
      </c>
      <c r="CL967">
        <v>0</v>
      </c>
      <c r="CM967">
        <v>2</v>
      </c>
      <c r="CN967">
        <v>0</v>
      </c>
      <c r="CO967">
        <v>6</v>
      </c>
      <c r="CP967" t="s">
        <v>119</v>
      </c>
      <c r="CQ967">
        <v>210</v>
      </c>
      <c r="CR967">
        <v>2</v>
      </c>
      <c r="CW967">
        <v>2399345</v>
      </c>
      <c r="CY967">
        <v>1</v>
      </c>
      <c r="CZ967">
        <v>0</v>
      </c>
      <c r="DA967">
        <v>0</v>
      </c>
      <c r="DB967">
        <v>0</v>
      </c>
      <c r="DC967">
        <v>0</v>
      </c>
      <c r="DD967">
        <v>1</v>
      </c>
      <c r="DE967">
        <v>0</v>
      </c>
      <c r="DF967">
        <v>0</v>
      </c>
      <c r="DG967">
        <v>0</v>
      </c>
      <c r="DH967">
        <v>0</v>
      </c>
      <c r="DI967">
        <v>0</v>
      </c>
    </row>
    <row r="968" spans="1:113" x14ac:dyDescent="0.3">
      <c r="A968" t="str">
        <f>"09/28/2021 13:58:32.386"</f>
        <v>09/28/2021 13:58:32.386</v>
      </c>
      <c r="C968" t="str">
        <f t="shared" si="47"/>
        <v>FFDFD3C0</v>
      </c>
      <c r="D968" t="s">
        <v>120</v>
      </c>
      <c r="E968">
        <v>12</v>
      </c>
      <c r="F968">
        <v>1012</v>
      </c>
      <c r="G968" t="s">
        <v>114</v>
      </c>
      <c r="J968" t="s">
        <v>121</v>
      </c>
      <c r="K968">
        <v>0</v>
      </c>
      <c r="L968">
        <v>3</v>
      </c>
      <c r="M968">
        <v>0</v>
      </c>
      <c r="N968">
        <v>2</v>
      </c>
      <c r="O968">
        <v>1</v>
      </c>
      <c r="P968">
        <v>0</v>
      </c>
      <c r="Q968">
        <v>0</v>
      </c>
      <c r="S968" t="str">
        <f>"13:58:32.148"</f>
        <v>13:58:32.148</v>
      </c>
      <c r="T968" t="str">
        <f>"13:58:31.648"</f>
        <v>13:58:31.648</v>
      </c>
      <c r="U968" t="str">
        <f t="shared" si="49"/>
        <v>A92BC1</v>
      </c>
      <c r="V968">
        <v>0</v>
      </c>
      <c r="W968">
        <v>0</v>
      </c>
      <c r="X968">
        <v>2</v>
      </c>
      <c r="Z968">
        <v>0</v>
      </c>
      <c r="AA968">
        <v>9</v>
      </c>
      <c r="AB968">
        <v>3</v>
      </c>
      <c r="AC968">
        <v>0</v>
      </c>
      <c r="AD968">
        <v>10</v>
      </c>
      <c r="AE968">
        <v>0</v>
      </c>
      <c r="AF968">
        <v>3</v>
      </c>
      <c r="AG968">
        <v>2</v>
      </c>
      <c r="AH968">
        <v>0</v>
      </c>
      <c r="AI968" t="s">
        <v>1068</v>
      </c>
      <c r="AJ968">
        <v>45.868735000000001</v>
      </c>
      <c r="AK968" t="s">
        <v>1069</v>
      </c>
      <c r="AL968">
        <v>-89.136843999999996</v>
      </c>
      <c r="AM968">
        <v>100</v>
      </c>
      <c r="AN968">
        <v>15400</v>
      </c>
      <c r="AO968" t="s">
        <v>118</v>
      </c>
      <c r="AP968">
        <v>153</v>
      </c>
      <c r="AQ968">
        <v>123</v>
      </c>
      <c r="AR968">
        <v>768</v>
      </c>
      <c r="AZ968">
        <v>1200</v>
      </c>
      <c r="BA968">
        <v>1</v>
      </c>
      <c r="BB968" t="str">
        <f t="shared" si="48"/>
        <v xml:space="preserve">N690LS  </v>
      </c>
      <c r="BC968">
        <v>1</v>
      </c>
      <c r="BE968">
        <v>0</v>
      </c>
      <c r="BF968">
        <v>0</v>
      </c>
      <c r="BG968">
        <v>0</v>
      </c>
      <c r="BH968">
        <v>15975</v>
      </c>
      <c r="BI968">
        <v>1</v>
      </c>
      <c r="BJ968">
        <v>1</v>
      </c>
      <c r="BK968">
        <v>1</v>
      </c>
      <c r="BL968">
        <v>0</v>
      </c>
      <c r="BO968">
        <v>0</v>
      </c>
      <c r="BP968">
        <v>0</v>
      </c>
      <c r="BW968" t="str">
        <f>"13:58:32.154"</f>
        <v>13:58:32.154</v>
      </c>
      <c r="CJ968">
        <v>0</v>
      </c>
      <c r="CK968">
        <v>2</v>
      </c>
      <c r="CL968">
        <v>0</v>
      </c>
      <c r="CM968">
        <v>2</v>
      </c>
      <c r="CN968">
        <v>0</v>
      </c>
      <c r="CO968">
        <v>6</v>
      </c>
      <c r="CP968" t="s">
        <v>119</v>
      </c>
      <c r="CQ968">
        <v>210</v>
      </c>
      <c r="CR968">
        <v>2</v>
      </c>
      <c r="CW968">
        <v>2399345</v>
      </c>
      <c r="CY968">
        <v>1</v>
      </c>
      <c r="CZ968">
        <v>0</v>
      </c>
      <c r="DA968">
        <v>1</v>
      </c>
      <c r="DB968">
        <v>0</v>
      </c>
      <c r="DC968">
        <v>0</v>
      </c>
      <c r="DD968">
        <v>1</v>
      </c>
      <c r="DE968">
        <v>0</v>
      </c>
      <c r="DF968">
        <v>0</v>
      </c>
      <c r="DG968">
        <v>0</v>
      </c>
      <c r="DH968">
        <v>0</v>
      </c>
      <c r="DI968">
        <v>0</v>
      </c>
    </row>
    <row r="969" spans="1:113" x14ac:dyDescent="0.3">
      <c r="A969" t="str">
        <f>"09/28/2021 13:58:33.402"</f>
        <v>09/28/2021 13:58:33.402</v>
      </c>
      <c r="C969" t="str">
        <f t="shared" si="47"/>
        <v>FFDFD3C0</v>
      </c>
      <c r="D969" t="s">
        <v>113</v>
      </c>
      <c r="E969">
        <v>7</v>
      </c>
      <c r="H969">
        <v>170</v>
      </c>
      <c r="I969" t="s">
        <v>114</v>
      </c>
      <c r="J969" t="s">
        <v>115</v>
      </c>
      <c r="K969">
        <v>0</v>
      </c>
      <c r="L969">
        <v>3</v>
      </c>
      <c r="M969">
        <v>0</v>
      </c>
      <c r="N969">
        <v>2</v>
      </c>
      <c r="O969">
        <v>1</v>
      </c>
      <c r="P969">
        <v>0</v>
      </c>
      <c r="Q969">
        <v>0</v>
      </c>
      <c r="S969" t="str">
        <f>"13:58:33.172"</f>
        <v>13:58:33.172</v>
      </c>
      <c r="T969" t="str">
        <f>"13:58:32.772"</f>
        <v>13:58:32.772</v>
      </c>
      <c r="U969" t="str">
        <f t="shared" si="49"/>
        <v>A92BC1</v>
      </c>
      <c r="V969">
        <v>0</v>
      </c>
      <c r="W969">
        <v>0</v>
      </c>
      <c r="X969">
        <v>2</v>
      </c>
      <c r="Z969">
        <v>0</v>
      </c>
      <c r="AA969">
        <v>9</v>
      </c>
      <c r="AB969">
        <v>3</v>
      </c>
      <c r="AC969">
        <v>0</v>
      </c>
      <c r="AD969">
        <v>10</v>
      </c>
      <c r="AE969">
        <v>0</v>
      </c>
      <c r="AF969">
        <v>3</v>
      </c>
      <c r="AG969">
        <v>2</v>
      </c>
      <c r="AH969">
        <v>0</v>
      </c>
      <c r="AI969" t="s">
        <v>1070</v>
      </c>
      <c r="AJ969">
        <v>45.869335999999997</v>
      </c>
      <c r="AK969" t="s">
        <v>1071</v>
      </c>
      <c r="AL969">
        <v>-89.135771000000005</v>
      </c>
      <c r="AM969">
        <v>100</v>
      </c>
      <c r="AN969">
        <v>15500</v>
      </c>
      <c r="AO969" t="s">
        <v>118</v>
      </c>
      <c r="AP969">
        <v>153</v>
      </c>
      <c r="AQ969">
        <v>123</v>
      </c>
      <c r="AR969">
        <v>768</v>
      </c>
      <c r="AZ969">
        <v>1200</v>
      </c>
      <c r="BA969">
        <v>1</v>
      </c>
      <c r="BB969" t="str">
        <f t="shared" si="48"/>
        <v xml:space="preserve">N690LS  </v>
      </c>
      <c r="BC969">
        <v>1</v>
      </c>
      <c r="BE969">
        <v>0</v>
      </c>
      <c r="BF969">
        <v>0</v>
      </c>
      <c r="BG969">
        <v>0</v>
      </c>
      <c r="BH969">
        <v>16000</v>
      </c>
      <c r="BI969">
        <v>1</v>
      </c>
      <c r="BJ969">
        <v>1</v>
      </c>
      <c r="BK969">
        <v>1</v>
      </c>
      <c r="BL969">
        <v>0</v>
      </c>
      <c r="BO969">
        <v>0</v>
      </c>
      <c r="BP969">
        <v>0</v>
      </c>
      <c r="BW969" t="str">
        <f>"13:58:33.177"</f>
        <v>13:58:33.177</v>
      </c>
      <c r="CJ969">
        <v>0</v>
      </c>
      <c r="CK969">
        <v>2</v>
      </c>
      <c r="CL969">
        <v>0</v>
      </c>
      <c r="CM969">
        <v>2</v>
      </c>
      <c r="CN969">
        <v>0</v>
      </c>
      <c r="CO969">
        <v>6</v>
      </c>
      <c r="CP969" t="s">
        <v>119</v>
      </c>
      <c r="CQ969">
        <v>209</v>
      </c>
      <c r="CR969">
        <v>2</v>
      </c>
      <c r="CW969">
        <v>11851231</v>
      </c>
      <c r="CY969">
        <v>1</v>
      </c>
      <c r="CZ969">
        <v>0</v>
      </c>
      <c r="DA969">
        <v>0</v>
      </c>
      <c r="DB969">
        <v>0</v>
      </c>
      <c r="DC969">
        <v>0</v>
      </c>
      <c r="DD969">
        <v>1</v>
      </c>
      <c r="DE969">
        <v>0</v>
      </c>
      <c r="DF969">
        <v>0</v>
      </c>
      <c r="DG969">
        <v>0</v>
      </c>
      <c r="DH969">
        <v>0</v>
      </c>
      <c r="DI969">
        <v>0</v>
      </c>
    </row>
    <row r="970" spans="1:113" x14ac:dyDescent="0.3">
      <c r="A970" t="str">
        <f>"09/28/2021 13:58:33.402"</f>
        <v>09/28/2021 13:58:33.402</v>
      </c>
      <c r="C970" t="str">
        <f t="shared" si="47"/>
        <v>FFDFD3C0</v>
      </c>
      <c r="D970" t="s">
        <v>120</v>
      </c>
      <c r="E970">
        <v>12</v>
      </c>
      <c r="F970">
        <v>1012</v>
      </c>
      <c r="G970" t="s">
        <v>114</v>
      </c>
      <c r="J970" t="s">
        <v>121</v>
      </c>
      <c r="K970">
        <v>0</v>
      </c>
      <c r="L970">
        <v>3</v>
      </c>
      <c r="M970">
        <v>0</v>
      </c>
      <c r="N970">
        <v>2</v>
      </c>
      <c r="O970">
        <v>1</v>
      </c>
      <c r="P970">
        <v>0</v>
      </c>
      <c r="Q970">
        <v>0</v>
      </c>
      <c r="S970" t="str">
        <f>"13:58:33.172"</f>
        <v>13:58:33.172</v>
      </c>
      <c r="T970" t="str">
        <f>"13:58:32.772"</f>
        <v>13:58:32.772</v>
      </c>
      <c r="U970" t="str">
        <f t="shared" si="49"/>
        <v>A92BC1</v>
      </c>
      <c r="V970">
        <v>0</v>
      </c>
      <c r="W970">
        <v>0</v>
      </c>
      <c r="X970">
        <v>2</v>
      </c>
      <c r="Z970">
        <v>0</v>
      </c>
      <c r="AA970">
        <v>9</v>
      </c>
      <c r="AB970">
        <v>3</v>
      </c>
      <c r="AC970">
        <v>0</v>
      </c>
      <c r="AD970">
        <v>10</v>
      </c>
      <c r="AE970">
        <v>0</v>
      </c>
      <c r="AF970">
        <v>3</v>
      </c>
      <c r="AG970">
        <v>2</v>
      </c>
      <c r="AH970">
        <v>0</v>
      </c>
      <c r="AI970" t="s">
        <v>1070</v>
      </c>
      <c r="AJ970">
        <v>45.869335999999997</v>
      </c>
      <c r="AK970" t="s">
        <v>1071</v>
      </c>
      <c r="AL970">
        <v>-89.135771000000005</v>
      </c>
      <c r="AM970">
        <v>100</v>
      </c>
      <c r="AN970">
        <v>15500</v>
      </c>
      <c r="AO970" t="s">
        <v>118</v>
      </c>
      <c r="AP970">
        <v>153</v>
      </c>
      <c r="AQ970">
        <v>123</v>
      </c>
      <c r="AR970">
        <v>768</v>
      </c>
      <c r="AZ970">
        <v>1200</v>
      </c>
      <c r="BA970">
        <v>1</v>
      </c>
      <c r="BB970" t="str">
        <f t="shared" si="48"/>
        <v xml:space="preserve">N690LS  </v>
      </c>
      <c r="BC970">
        <v>1</v>
      </c>
      <c r="BE970">
        <v>0</v>
      </c>
      <c r="BF970">
        <v>0</v>
      </c>
      <c r="BG970">
        <v>0</v>
      </c>
      <c r="BH970">
        <v>16000</v>
      </c>
      <c r="BI970">
        <v>1</v>
      </c>
      <c r="BJ970">
        <v>1</v>
      </c>
      <c r="BK970">
        <v>1</v>
      </c>
      <c r="BL970">
        <v>0</v>
      </c>
      <c r="BO970">
        <v>0</v>
      </c>
      <c r="BP970">
        <v>0</v>
      </c>
      <c r="BW970" t="str">
        <f>"13:58:33.177"</f>
        <v>13:58:33.177</v>
      </c>
      <c r="CJ970">
        <v>0</v>
      </c>
      <c r="CK970">
        <v>2</v>
      </c>
      <c r="CL970">
        <v>0</v>
      </c>
      <c r="CM970">
        <v>2</v>
      </c>
      <c r="CN970">
        <v>0</v>
      </c>
      <c r="CO970">
        <v>6</v>
      </c>
      <c r="CP970" t="s">
        <v>119</v>
      </c>
      <c r="CQ970">
        <v>209</v>
      </c>
      <c r="CR970">
        <v>2</v>
      </c>
      <c r="CW970">
        <v>11851231</v>
      </c>
      <c r="CY970">
        <v>1</v>
      </c>
      <c r="CZ970">
        <v>0</v>
      </c>
      <c r="DA970">
        <v>1</v>
      </c>
      <c r="DB970">
        <v>0</v>
      </c>
      <c r="DC970">
        <v>0</v>
      </c>
      <c r="DD970">
        <v>1</v>
      </c>
      <c r="DE970">
        <v>0</v>
      </c>
      <c r="DF970">
        <v>0</v>
      </c>
      <c r="DG970">
        <v>0</v>
      </c>
      <c r="DH970">
        <v>0</v>
      </c>
      <c r="DI970">
        <v>0</v>
      </c>
    </row>
    <row r="971" spans="1:113" x14ac:dyDescent="0.3">
      <c r="A971" t="str">
        <f>"09/28/2021 13:58:34.388"</f>
        <v>09/28/2021 13:58:34.388</v>
      </c>
      <c r="C971" t="str">
        <f t="shared" si="47"/>
        <v>FFDFD3C0</v>
      </c>
      <c r="D971" t="s">
        <v>113</v>
      </c>
      <c r="E971">
        <v>7</v>
      </c>
      <c r="H971">
        <v>170</v>
      </c>
      <c r="I971" t="s">
        <v>114</v>
      </c>
      <c r="J971" t="s">
        <v>115</v>
      </c>
      <c r="K971">
        <v>0</v>
      </c>
      <c r="L971">
        <v>3</v>
      </c>
      <c r="M971">
        <v>0</v>
      </c>
      <c r="N971">
        <v>2</v>
      </c>
      <c r="O971">
        <v>1</v>
      </c>
      <c r="P971">
        <v>0</v>
      </c>
      <c r="Q971">
        <v>0</v>
      </c>
      <c r="S971" t="str">
        <f>"13:58:34.188"</f>
        <v>13:58:34.188</v>
      </c>
      <c r="T971" t="str">
        <f>"13:58:33.688"</f>
        <v>13:58:33.688</v>
      </c>
      <c r="U971" t="str">
        <f t="shared" si="49"/>
        <v>A92BC1</v>
      </c>
      <c r="V971">
        <v>0</v>
      </c>
      <c r="W971">
        <v>0</v>
      </c>
      <c r="X971">
        <v>2</v>
      </c>
      <c r="Z971">
        <v>0</v>
      </c>
      <c r="AA971">
        <v>9</v>
      </c>
      <c r="AB971">
        <v>3</v>
      </c>
      <c r="AC971">
        <v>0</v>
      </c>
      <c r="AD971">
        <v>10</v>
      </c>
      <c r="AE971">
        <v>0</v>
      </c>
      <c r="AF971">
        <v>3</v>
      </c>
      <c r="AG971">
        <v>2</v>
      </c>
      <c r="AH971">
        <v>0</v>
      </c>
      <c r="AI971" t="s">
        <v>1072</v>
      </c>
      <c r="AJ971">
        <v>45.869894000000002</v>
      </c>
      <c r="AK971" t="s">
        <v>1073</v>
      </c>
      <c r="AL971">
        <v>-89.134761999999995</v>
      </c>
      <c r="AM971">
        <v>100</v>
      </c>
      <c r="AN971">
        <v>15500</v>
      </c>
      <c r="AO971" t="s">
        <v>118</v>
      </c>
      <c r="AP971">
        <v>154</v>
      </c>
      <c r="AQ971">
        <v>123</v>
      </c>
      <c r="AR971">
        <v>832</v>
      </c>
      <c r="AZ971">
        <v>1200</v>
      </c>
      <c r="BA971">
        <v>1</v>
      </c>
      <c r="BB971" t="str">
        <f t="shared" si="48"/>
        <v xml:space="preserve">N690LS  </v>
      </c>
      <c r="BC971">
        <v>1</v>
      </c>
      <c r="BE971">
        <v>0</v>
      </c>
      <c r="BF971">
        <v>0</v>
      </c>
      <c r="BG971">
        <v>0</v>
      </c>
      <c r="BH971">
        <v>16000</v>
      </c>
      <c r="BI971">
        <v>1</v>
      </c>
      <c r="BJ971">
        <v>1</v>
      </c>
      <c r="BK971">
        <v>1</v>
      </c>
      <c r="BL971">
        <v>0</v>
      </c>
      <c r="BO971">
        <v>0</v>
      </c>
      <c r="BP971">
        <v>0</v>
      </c>
      <c r="BW971" t="str">
        <f>"13:58:34.189"</f>
        <v>13:58:34.189</v>
      </c>
      <c r="CJ971">
        <v>0</v>
      </c>
      <c r="CK971">
        <v>2</v>
      </c>
      <c r="CL971">
        <v>0</v>
      </c>
      <c r="CM971">
        <v>2</v>
      </c>
      <c r="CN971">
        <v>0</v>
      </c>
      <c r="CO971">
        <v>6</v>
      </c>
      <c r="CP971" t="s">
        <v>119</v>
      </c>
      <c r="CQ971">
        <v>210</v>
      </c>
      <c r="CR971">
        <v>2</v>
      </c>
      <c r="CW971">
        <v>2400789</v>
      </c>
      <c r="CY971">
        <v>1</v>
      </c>
      <c r="CZ971">
        <v>0</v>
      </c>
      <c r="DA971">
        <v>0</v>
      </c>
      <c r="DB971">
        <v>0</v>
      </c>
      <c r="DC971">
        <v>0</v>
      </c>
      <c r="DD971">
        <v>1</v>
      </c>
      <c r="DE971">
        <v>0</v>
      </c>
      <c r="DF971">
        <v>0</v>
      </c>
      <c r="DG971">
        <v>0</v>
      </c>
      <c r="DH971">
        <v>0</v>
      </c>
      <c r="DI971">
        <v>0</v>
      </c>
    </row>
    <row r="972" spans="1:113" x14ac:dyDescent="0.3">
      <c r="A972" t="str">
        <f>"09/28/2021 13:58:34.388"</f>
        <v>09/28/2021 13:58:34.388</v>
      </c>
      <c r="C972" t="str">
        <f t="shared" si="47"/>
        <v>FFDFD3C0</v>
      </c>
      <c r="D972" t="s">
        <v>120</v>
      </c>
      <c r="E972">
        <v>12</v>
      </c>
      <c r="F972">
        <v>1012</v>
      </c>
      <c r="G972" t="s">
        <v>114</v>
      </c>
      <c r="J972" t="s">
        <v>121</v>
      </c>
      <c r="K972">
        <v>0</v>
      </c>
      <c r="L972">
        <v>3</v>
      </c>
      <c r="M972">
        <v>0</v>
      </c>
      <c r="N972">
        <v>2</v>
      </c>
      <c r="O972">
        <v>1</v>
      </c>
      <c r="P972">
        <v>0</v>
      </c>
      <c r="Q972">
        <v>0</v>
      </c>
      <c r="S972" t="str">
        <f>"13:58:34.188"</f>
        <v>13:58:34.188</v>
      </c>
      <c r="T972" t="str">
        <f>"13:58:33.688"</f>
        <v>13:58:33.688</v>
      </c>
      <c r="U972" t="str">
        <f t="shared" si="49"/>
        <v>A92BC1</v>
      </c>
      <c r="V972">
        <v>0</v>
      </c>
      <c r="W972">
        <v>0</v>
      </c>
      <c r="X972">
        <v>2</v>
      </c>
      <c r="Z972">
        <v>0</v>
      </c>
      <c r="AA972">
        <v>9</v>
      </c>
      <c r="AB972">
        <v>3</v>
      </c>
      <c r="AC972">
        <v>0</v>
      </c>
      <c r="AD972">
        <v>10</v>
      </c>
      <c r="AE972">
        <v>0</v>
      </c>
      <c r="AF972">
        <v>3</v>
      </c>
      <c r="AG972">
        <v>2</v>
      </c>
      <c r="AH972">
        <v>0</v>
      </c>
      <c r="AI972" t="s">
        <v>1072</v>
      </c>
      <c r="AJ972">
        <v>45.869894000000002</v>
      </c>
      <c r="AK972" t="s">
        <v>1073</v>
      </c>
      <c r="AL972">
        <v>-89.134761999999995</v>
      </c>
      <c r="AM972">
        <v>100</v>
      </c>
      <c r="AN972">
        <v>15500</v>
      </c>
      <c r="AO972" t="s">
        <v>118</v>
      </c>
      <c r="AP972">
        <v>154</v>
      </c>
      <c r="AQ972">
        <v>123</v>
      </c>
      <c r="AR972">
        <v>832</v>
      </c>
      <c r="AZ972">
        <v>1200</v>
      </c>
      <c r="BA972">
        <v>1</v>
      </c>
      <c r="BB972" t="str">
        <f t="shared" si="48"/>
        <v xml:space="preserve">N690LS  </v>
      </c>
      <c r="BC972">
        <v>1</v>
      </c>
      <c r="BE972">
        <v>0</v>
      </c>
      <c r="BF972">
        <v>0</v>
      </c>
      <c r="BG972">
        <v>0</v>
      </c>
      <c r="BH972">
        <v>16000</v>
      </c>
      <c r="BI972">
        <v>1</v>
      </c>
      <c r="BJ972">
        <v>1</v>
      </c>
      <c r="BK972">
        <v>1</v>
      </c>
      <c r="BL972">
        <v>0</v>
      </c>
      <c r="BO972">
        <v>0</v>
      </c>
      <c r="BP972">
        <v>0</v>
      </c>
      <c r="BW972" t="str">
        <f>"13:58:34.189"</f>
        <v>13:58:34.189</v>
      </c>
      <c r="CJ972">
        <v>0</v>
      </c>
      <c r="CK972">
        <v>2</v>
      </c>
      <c r="CL972">
        <v>0</v>
      </c>
      <c r="CM972">
        <v>2</v>
      </c>
      <c r="CN972">
        <v>0</v>
      </c>
      <c r="CO972">
        <v>6</v>
      </c>
      <c r="CP972" t="s">
        <v>119</v>
      </c>
      <c r="CQ972">
        <v>210</v>
      </c>
      <c r="CR972">
        <v>2</v>
      </c>
      <c r="CW972">
        <v>2400789</v>
      </c>
      <c r="CY972">
        <v>1</v>
      </c>
      <c r="CZ972">
        <v>0</v>
      </c>
      <c r="DA972">
        <v>1</v>
      </c>
      <c r="DB972">
        <v>0</v>
      </c>
      <c r="DC972">
        <v>0</v>
      </c>
      <c r="DD972">
        <v>1</v>
      </c>
      <c r="DE972">
        <v>0</v>
      </c>
      <c r="DF972">
        <v>0</v>
      </c>
      <c r="DG972">
        <v>0</v>
      </c>
      <c r="DH972">
        <v>0</v>
      </c>
      <c r="DI972">
        <v>0</v>
      </c>
    </row>
    <row r="973" spans="1:113" x14ac:dyDescent="0.3">
      <c r="A973" t="str">
        <f>"09/28/2021 13:58:35.435"</f>
        <v>09/28/2021 13:58:35.435</v>
      </c>
      <c r="C973" t="str">
        <f t="shared" si="47"/>
        <v>FFDFD3C0</v>
      </c>
      <c r="D973" t="s">
        <v>120</v>
      </c>
      <c r="E973">
        <v>12</v>
      </c>
      <c r="F973">
        <v>1012</v>
      </c>
      <c r="G973" t="s">
        <v>114</v>
      </c>
      <c r="J973" t="s">
        <v>121</v>
      </c>
      <c r="K973">
        <v>0</v>
      </c>
      <c r="L973">
        <v>3</v>
      </c>
      <c r="M973">
        <v>0</v>
      </c>
      <c r="N973">
        <v>2</v>
      </c>
      <c r="O973">
        <v>1</v>
      </c>
      <c r="P973">
        <v>0</v>
      </c>
      <c r="Q973">
        <v>0</v>
      </c>
      <c r="S973" t="str">
        <f>"13:58:35.250"</f>
        <v>13:58:35.250</v>
      </c>
      <c r="T973" t="str">
        <f>"13:58:34.850"</f>
        <v>13:58:34.850</v>
      </c>
      <c r="U973" t="str">
        <f t="shared" si="49"/>
        <v>A92BC1</v>
      </c>
      <c r="V973">
        <v>0</v>
      </c>
      <c r="W973">
        <v>0</v>
      </c>
      <c r="X973">
        <v>2</v>
      </c>
      <c r="Z973">
        <v>0</v>
      </c>
      <c r="AA973">
        <v>9</v>
      </c>
      <c r="AB973">
        <v>3</v>
      </c>
      <c r="AC973">
        <v>0</v>
      </c>
      <c r="AD973">
        <v>10</v>
      </c>
      <c r="AE973">
        <v>0</v>
      </c>
      <c r="AF973">
        <v>3</v>
      </c>
      <c r="AG973">
        <v>2</v>
      </c>
      <c r="AH973">
        <v>0</v>
      </c>
      <c r="AI973" t="s">
        <v>1074</v>
      </c>
      <c r="AJ973">
        <v>45.870516000000002</v>
      </c>
      <c r="AK973" t="s">
        <v>1075</v>
      </c>
      <c r="AL973">
        <v>-89.133668</v>
      </c>
      <c r="AM973">
        <v>100</v>
      </c>
      <c r="AN973">
        <v>15500</v>
      </c>
      <c r="AO973" t="s">
        <v>118</v>
      </c>
      <c r="AP973">
        <v>154</v>
      </c>
      <c r="AQ973">
        <v>123</v>
      </c>
      <c r="AR973">
        <v>832</v>
      </c>
      <c r="AZ973">
        <v>1200</v>
      </c>
      <c r="BA973">
        <v>1</v>
      </c>
      <c r="BB973" t="str">
        <f t="shared" si="48"/>
        <v xml:space="preserve">N690LS  </v>
      </c>
      <c r="BC973">
        <v>1</v>
      </c>
      <c r="BE973">
        <v>0</v>
      </c>
      <c r="BF973">
        <v>0</v>
      </c>
      <c r="BG973">
        <v>0</v>
      </c>
      <c r="BH973">
        <v>16025</v>
      </c>
      <c r="BI973">
        <v>1</v>
      </c>
      <c r="BJ973">
        <v>1</v>
      </c>
      <c r="BK973">
        <v>1</v>
      </c>
      <c r="BL973">
        <v>0</v>
      </c>
      <c r="BO973">
        <v>0</v>
      </c>
      <c r="BP973">
        <v>0</v>
      </c>
      <c r="BW973" t="str">
        <f>"13:58:35.251"</f>
        <v>13:58:35.251</v>
      </c>
      <c r="CJ973">
        <v>0</v>
      </c>
      <c r="CK973">
        <v>2</v>
      </c>
      <c r="CL973">
        <v>0</v>
      </c>
      <c r="CM973">
        <v>2</v>
      </c>
      <c r="CN973">
        <v>0</v>
      </c>
      <c r="CO973">
        <v>7</v>
      </c>
      <c r="CP973" t="s">
        <v>119</v>
      </c>
      <c r="CQ973">
        <v>197</v>
      </c>
      <c r="CR973">
        <v>0</v>
      </c>
      <c r="CW973">
        <v>16079948</v>
      </c>
      <c r="CY973">
        <v>1</v>
      </c>
      <c r="CZ973">
        <v>0</v>
      </c>
      <c r="DA973">
        <v>0</v>
      </c>
      <c r="DB973">
        <v>0</v>
      </c>
      <c r="DC973">
        <v>0</v>
      </c>
      <c r="DD973">
        <v>1</v>
      </c>
      <c r="DE973">
        <v>0</v>
      </c>
      <c r="DF973">
        <v>0</v>
      </c>
      <c r="DG973">
        <v>0</v>
      </c>
      <c r="DH973">
        <v>0</v>
      </c>
      <c r="DI973">
        <v>0</v>
      </c>
    </row>
    <row r="974" spans="1:113" x14ac:dyDescent="0.3">
      <c r="A974" t="str">
        <f>"09/28/2021 13:58:35.435"</f>
        <v>09/28/2021 13:58:35.435</v>
      </c>
      <c r="C974" t="str">
        <f t="shared" si="47"/>
        <v>FFDFD3C0</v>
      </c>
      <c r="D974" t="s">
        <v>113</v>
      </c>
      <c r="E974">
        <v>7</v>
      </c>
      <c r="H974">
        <v>170</v>
      </c>
      <c r="I974" t="s">
        <v>114</v>
      </c>
      <c r="J974" t="s">
        <v>115</v>
      </c>
      <c r="K974">
        <v>0</v>
      </c>
      <c r="L974">
        <v>3</v>
      </c>
      <c r="M974">
        <v>0</v>
      </c>
      <c r="N974">
        <v>2</v>
      </c>
      <c r="O974">
        <v>1</v>
      </c>
      <c r="P974">
        <v>0</v>
      </c>
      <c r="Q974">
        <v>0</v>
      </c>
      <c r="S974" t="str">
        <f>"13:58:35.250"</f>
        <v>13:58:35.250</v>
      </c>
      <c r="T974" t="str">
        <f>"13:58:34.850"</f>
        <v>13:58:34.850</v>
      </c>
      <c r="U974" t="str">
        <f t="shared" si="49"/>
        <v>A92BC1</v>
      </c>
      <c r="V974">
        <v>0</v>
      </c>
      <c r="W974">
        <v>0</v>
      </c>
      <c r="X974">
        <v>2</v>
      </c>
      <c r="Z974">
        <v>0</v>
      </c>
      <c r="AA974">
        <v>9</v>
      </c>
      <c r="AB974">
        <v>3</v>
      </c>
      <c r="AC974">
        <v>0</v>
      </c>
      <c r="AD974">
        <v>10</v>
      </c>
      <c r="AE974">
        <v>0</v>
      </c>
      <c r="AF974">
        <v>3</v>
      </c>
      <c r="AG974">
        <v>2</v>
      </c>
      <c r="AH974">
        <v>0</v>
      </c>
      <c r="AI974" t="s">
        <v>1074</v>
      </c>
      <c r="AJ974">
        <v>45.870516000000002</v>
      </c>
      <c r="AK974" t="s">
        <v>1075</v>
      </c>
      <c r="AL974">
        <v>-89.133668</v>
      </c>
      <c r="AM974">
        <v>100</v>
      </c>
      <c r="AN974">
        <v>15500</v>
      </c>
      <c r="AO974" t="s">
        <v>118</v>
      </c>
      <c r="AP974">
        <v>154</v>
      </c>
      <c r="AQ974">
        <v>123</v>
      </c>
      <c r="AR974">
        <v>832</v>
      </c>
      <c r="AZ974">
        <v>1200</v>
      </c>
      <c r="BA974">
        <v>1</v>
      </c>
      <c r="BB974" t="str">
        <f t="shared" si="48"/>
        <v xml:space="preserve">N690LS  </v>
      </c>
      <c r="BC974">
        <v>1</v>
      </c>
      <c r="BE974">
        <v>0</v>
      </c>
      <c r="BF974">
        <v>0</v>
      </c>
      <c r="BG974">
        <v>0</v>
      </c>
      <c r="BH974">
        <v>16025</v>
      </c>
      <c r="BI974">
        <v>1</v>
      </c>
      <c r="BJ974">
        <v>1</v>
      </c>
      <c r="BK974">
        <v>1</v>
      </c>
      <c r="BL974">
        <v>0</v>
      </c>
      <c r="BO974">
        <v>0</v>
      </c>
      <c r="BP974">
        <v>0</v>
      </c>
      <c r="BW974" t="str">
        <f>"13:58:35.251"</f>
        <v>13:58:35.251</v>
      </c>
      <c r="CJ974">
        <v>0</v>
      </c>
      <c r="CK974">
        <v>2</v>
      </c>
      <c r="CL974">
        <v>0</v>
      </c>
      <c r="CM974">
        <v>2</v>
      </c>
      <c r="CN974">
        <v>0</v>
      </c>
      <c r="CO974">
        <v>7</v>
      </c>
      <c r="CP974" t="s">
        <v>119</v>
      </c>
      <c r="CQ974">
        <v>197</v>
      </c>
      <c r="CR974">
        <v>0</v>
      </c>
      <c r="CW974">
        <v>16079948</v>
      </c>
      <c r="CY974">
        <v>1</v>
      </c>
      <c r="CZ974">
        <v>0</v>
      </c>
      <c r="DA974">
        <v>1</v>
      </c>
      <c r="DB974">
        <v>0</v>
      </c>
      <c r="DC974">
        <v>0</v>
      </c>
      <c r="DD974">
        <v>1</v>
      </c>
      <c r="DE974">
        <v>0</v>
      </c>
      <c r="DF974">
        <v>0</v>
      </c>
      <c r="DG974">
        <v>0</v>
      </c>
      <c r="DH974">
        <v>0</v>
      </c>
      <c r="DI974">
        <v>0</v>
      </c>
    </row>
    <row r="975" spans="1:113" x14ac:dyDescent="0.3">
      <c r="A975" t="str">
        <f>"09/28/2021 13:58:36.496"</f>
        <v>09/28/2021 13:58:36.496</v>
      </c>
      <c r="C975" t="str">
        <f t="shared" si="47"/>
        <v>FFDFD3C0</v>
      </c>
      <c r="D975" t="s">
        <v>120</v>
      </c>
      <c r="E975">
        <v>12</v>
      </c>
      <c r="F975">
        <v>1012</v>
      </c>
      <c r="G975" t="s">
        <v>114</v>
      </c>
      <c r="J975" t="s">
        <v>121</v>
      </c>
      <c r="K975">
        <v>0</v>
      </c>
      <c r="L975">
        <v>3</v>
      </c>
      <c r="M975">
        <v>0</v>
      </c>
      <c r="N975">
        <v>2</v>
      </c>
      <c r="O975">
        <v>1</v>
      </c>
      <c r="P975">
        <v>0</v>
      </c>
      <c r="Q975">
        <v>0</v>
      </c>
      <c r="S975" t="str">
        <f>"13:58:36.313"</f>
        <v>13:58:36.313</v>
      </c>
      <c r="T975" t="str">
        <f>"13:58:35.813"</f>
        <v>13:58:35.813</v>
      </c>
      <c r="U975" t="str">
        <f t="shared" si="49"/>
        <v>A92BC1</v>
      </c>
      <c r="V975">
        <v>0</v>
      </c>
      <c r="W975">
        <v>0</v>
      </c>
      <c r="X975">
        <v>2</v>
      </c>
      <c r="Z975">
        <v>0</v>
      </c>
      <c r="AA975">
        <v>9</v>
      </c>
      <c r="AB975">
        <v>3</v>
      </c>
      <c r="AC975">
        <v>0</v>
      </c>
      <c r="AD975">
        <v>10</v>
      </c>
      <c r="AE975">
        <v>0</v>
      </c>
      <c r="AF975">
        <v>3</v>
      </c>
      <c r="AG975">
        <v>2</v>
      </c>
      <c r="AH975">
        <v>0</v>
      </c>
      <c r="AI975" t="s">
        <v>1076</v>
      </c>
      <c r="AJ975">
        <v>45.871096000000001</v>
      </c>
      <c r="AK975" t="s">
        <v>1077</v>
      </c>
      <c r="AL975">
        <v>-89.132638</v>
      </c>
      <c r="AM975">
        <v>100</v>
      </c>
      <c r="AN975">
        <v>15500</v>
      </c>
      <c r="AO975" t="s">
        <v>118</v>
      </c>
      <c r="AP975">
        <v>155</v>
      </c>
      <c r="AQ975">
        <v>124</v>
      </c>
      <c r="AR975">
        <v>768</v>
      </c>
      <c r="AZ975">
        <v>1200</v>
      </c>
      <c r="BA975">
        <v>1</v>
      </c>
      <c r="BB975" t="str">
        <f t="shared" si="48"/>
        <v xml:space="preserve">N690LS  </v>
      </c>
      <c r="BC975">
        <v>1</v>
      </c>
      <c r="BE975">
        <v>0</v>
      </c>
      <c r="BF975">
        <v>0</v>
      </c>
      <c r="BG975">
        <v>0</v>
      </c>
      <c r="BH975">
        <v>16025</v>
      </c>
      <c r="BI975">
        <v>1</v>
      </c>
      <c r="BJ975">
        <v>1</v>
      </c>
      <c r="BK975">
        <v>1</v>
      </c>
      <c r="BL975">
        <v>0</v>
      </c>
      <c r="BO975">
        <v>0</v>
      </c>
      <c r="BP975">
        <v>0</v>
      </c>
      <c r="BW975" t="str">
        <f>"13:58:36.316"</f>
        <v>13:58:36.316</v>
      </c>
      <c r="CJ975">
        <v>0</v>
      </c>
      <c r="CK975">
        <v>2</v>
      </c>
      <c r="CL975">
        <v>0</v>
      </c>
      <c r="CM975">
        <v>2</v>
      </c>
      <c r="CN975">
        <v>0</v>
      </c>
      <c r="CO975">
        <v>7</v>
      </c>
      <c r="CP975" t="s">
        <v>119</v>
      </c>
      <c r="CQ975">
        <v>209</v>
      </c>
      <c r="CR975">
        <v>3</v>
      </c>
      <c r="CW975">
        <v>7261095</v>
      </c>
      <c r="CY975">
        <v>1</v>
      </c>
      <c r="CZ975">
        <v>0</v>
      </c>
      <c r="DA975">
        <v>0</v>
      </c>
      <c r="DB975">
        <v>0</v>
      </c>
      <c r="DC975">
        <v>0</v>
      </c>
      <c r="DD975">
        <v>1</v>
      </c>
      <c r="DE975">
        <v>0</v>
      </c>
      <c r="DF975">
        <v>0</v>
      </c>
      <c r="DG975">
        <v>0</v>
      </c>
      <c r="DH975">
        <v>0</v>
      </c>
      <c r="DI975">
        <v>0</v>
      </c>
    </row>
    <row r="976" spans="1:113" x14ac:dyDescent="0.3">
      <c r="A976" t="str">
        <f>"09/28/2021 13:58:36.496"</f>
        <v>09/28/2021 13:58:36.496</v>
      </c>
      <c r="C976" t="str">
        <f t="shared" si="47"/>
        <v>FFDFD3C0</v>
      </c>
      <c r="D976" t="s">
        <v>113</v>
      </c>
      <c r="E976">
        <v>7</v>
      </c>
      <c r="H976">
        <v>170</v>
      </c>
      <c r="I976" t="s">
        <v>114</v>
      </c>
      <c r="J976" t="s">
        <v>115</v>
      </c>
      <c r="K976">
        <v>0</v>
      </c>
      <c r="L976">
        <v>3</v>
      </c>
      <c r="M976">
        <v>0</v>
      </c>
      <c r="N976">
        <v>2</v>
      </c>
      <c r="O976">
        <v>1</v>
      </c>
      <c r="P976">
        <v>0</v>
      </c>
      <c r="Q976">
        <v>0</v>
      </c>
      <c r="S976" t="str">
        <f>"13:58:36.313"</f>
        <v>13:58:36.313</v>
      </c>
      <c r="T976" t="str">
        <f>"13:58:35.813"</f>
        <v>13:58:35.813</v>
      </c>
      <c r="U976" t="str">
        <f t="shared" si="49"/>
        <v>A92BC1</v>
      </c>
      <c r="V976">
        <v>0</v>
      </c>
      <c r="W976">
        <v>0</v>
      </c>
      <c r="X976">
        <v>2</v>
      </c>
      <c r="Z976">
        <v>0</v>
      </c>
      <c r="AA976">
        <v>9</v>
      </c>
      <c r="AB976">
        <v>3</v>
      </c>
      <c r="AC976">
        <v>0</v>
      </c>
      <c r="AD976">
        <v>10</v>
      </c>
      <c r="AE976">
        <v>0</v>
      </c>
      <c r="AF976">
        <v>3</v>
      </c>
      <c r="AG976">
        <v>2</v>
      </c>
      <c r="AH976">
        <v>0</v>
      </c>
      <c r="AI976" t="s">
        <v>1076</v>
      </c>
      <c r="AJ976">
        <v>45.871096000000001</v>
      </c>
      <c r="AK976" t="s">
        <v>1077</v>
      </c>
      <c r="AL976">
        <v>-89.132638</v>
      </c>
      <c r="AM976">
        <v>100</v>
      </c>
      <c r="AN976">
        <v>15500</v>
      </c>
      <c r="AO976" t="s">
        <v>118</v>
      </c>
      <c r="AP976">
        <v>155</v>
      </c>
      <c r="AQ976">
        <v>124</v>
      </c>
      <c r="AR976">
        <v>768</v>
      </c>
      <c r="AZ976">
        <v>1200</v>
      </c>
      <c r="BA976">
        <v>1</v>
      </c>
      <c r="BB976" t="str">
        <f t="shared" si="48"/>
        <v xml:space="preserve">N690LS  </v>
      </c>
      <c r="BC976">
        <v>1</v>
      </c>
      <c r="BE976">
        <v>0</v>
      </c>
      <c r="BF976">
        <v>0</v>
      </c>
      <c r="BG976">
        <v>0</v>
      </c>
      <c r="BH976">
        <v>16025</v>
      </c>
      <c r="BI976">
        <v>1</v>
      </c>
      <c r="BJ976">
        <v>1</v>
      </c>
      <c r="BK976">
        <v>1</v>
      </c>
      <c r="BL976">
        <v>0</v>
      </c>
      <c r="BO976">
        <v>0</v>
      </c>
      <c r="BP976">
        <v>0</v>
      </c>
      <c r="BW976" t="str">
        <f>"13:58:36.316"</f>
        <v>13:58:36.316</v>
      </c>
      <c r="CJ976">
        <v>0</v>
      </c>
      <c r="CK976">
        <v>2</v>
      </c>
      <c r="CL976">
        <v>0</v>
      </c>
      <c r="CM976">
        <v>2</v>
      </c>
      <c r="CN976">
        <v>0</v>
      </c>
      <c r="CO976">
        <v>7</v>
      </c>
      <c r="CP976" t="s">
        <v>119</v>
      </c>
      <c r="CQ976">
        <v>209</v>
      </c>
      <c r="CR976">
        <v>3</v>
      </c>
      <c r="CW976">
        <v>7261095</v>
      </c>
      <c r="CY976">
        <v>1</v>
      </c>
      <c r="CZ976">
        <v>0</v>
      </c>
      <c r="DA976">
        <v>1</v>
      </c>
      <c r="DB976">
        <v>0</v>
      </c>
      <c r="DC976">
        <v>0</v>
      </c>
      <c r="DD976">
        <v>1</v>
      </c>
      <c r="DE976">
        <v>0</v>
      </c>
      <c r="DF976">
        <v>0</v>
      </c>
      <c r="DG976">
        <v>0</v>
      </c>
      <c r="DH976">
        <v>0</v>
      </c>
      <c r="DI976">
        <v>0</v>
      </c>
    </row>
    <row r="977" spans="1:113" x14ac:dyDescent="0.3">
      <c r="A977" t="str">
        <f>"09/28/2021 13:58:37.496"</f>
        <v>09/28/2021 13:58:37.496</v>
      </c>
      <c r="C977" t="str">
        <f t="shared" si="47"/>
        <v>FFDFD3C0</v>
      </c>
      <c r="D977" t="s">
        <v>120</v>
      </c>
      <c r="E977">
        <v>12</v>
      </c>
      <c r="F977">
        <v>1012</v>
      </c>
      <c r="G977" t="s">
        <v>114</v>
      </c>
      <c r="J977" t="s">
        <v>121</v>
      </c>
      <c r="K977">
        <v>0</v>
      </c>
      <c r="L977">
        <v>3</v>
      </c>
      <c r="M977">
        <v>0</v>
      </c>
      <c r="N977">
        <v>2</v>
      </c>
      <c r="O977">
        <v>1</v>
      </c>
      <c r="P977">
        <v>0</v>
      </c>
      <c r="Q977">
        <v>0</v>
      </c>
      <c r="S977" t="str">
        <f>"13:58:37.297"</f>
        <v>13:58:37.297</v>
      </c>
      <c r="T977" t="str">
        <f>"13:58:36.897"</f>
        <v>13:58:36.897</v>
      </c>
      <c r="U977" t="str">
        <f t="shared" si="49"/>
        <v>A92BC1</v>
      </c>
      <c r="V977">
        <v>0</v>
      </c>
      <c r="W977">
        <v>0</v>
      </c>
      <c r="X977">
        <v>2</v>
      </c>
      <c r="Z977">
        <v>0</v>
      </c>
      <c r="AA977">
        <v>9</v>
      </c>
      <c r="AB977">
        <v>3</v>
      </c>
      <c r="AC977">
        <v>0</v>
      </c>
      <c r="AD977">
        <v>10</v>
      </c>
      <c r="AE977">
        <v>0</v>
      </c>
      <c r="AF977">
        <v>3</v>
      </c>
      <c r="AG977">
        <v>2</v>
      </c>
      <c r="AH977">
        <v>0</v>
      </c>
      <c r="AI977" t="s">
        <v>1078</v>
      </c>
      <c r="AJ977">
        <v>45.871696</v>
      </c>
      <c r="AK977" t="s">
        <v>1079</v>
      </c>
      <c r="AL977">
        <v>-89.131608</v>
      </c>
      <c r="AM977">
        <v>100</v>
      </c>
      <c r="AN977">
        <v>15500</v>
      </c>
      <c r="AO977" t="s">
        <v>118</v>
      </c>
      <c r="AP977">
        <v>155</v>
      </c>
      <c r="AQ977">
        <v>124</v>
      </c>
      <c r="AR977">
        <v>640</v>
      </c>
      <c r="AZ977">
        <v>1200</v>
      </c>
      <c r="BA977">
        <v>1</v>
      </c>
      <c r="BB977" t="str">
        <f t="shared" si="48"/>
        <v xml:space="preserve">N690LS  </v>
      </c>
      <c r="BC977">
        <v>1</v>
      </c>
      <c r="BE977">
        <v>0</v>
      </c>
      <c r="BF977">
        <v>0</v>
      </c>
      <c r="BG977">
        <v>0</v>
      </c>
      <c r="BH977">
        <v>16050</v>
      </c>
      <c r="BI977">
        <v>1</v>
      </c>
      <c r="BJ977">
        <v>1</v>
      </c>
      <c r="BK977">
        <v>1</v>
      </c>
      <c r="BL977">
        <v>0</v>
      </c>
      <c r="BO977">
        <v>0</v>
      </c>
      <c r="BP977">
        <v>0</v>
      </c>
      <c r="BW977" t="str">
        <f>"13:58:37.302"</f>
        <v>13:58:37.302</v>
      </c>
      <c r="CJ977">
        <v>0</v>
      </c>
      <c r="CK977">
        <v>2</v>
      </c>
      <c r="CL977">
        <v>0</v>
      </c>
      <c r="CM977">
        <v>2</v>
      </c>
      <c r="CN977">
        <v>0</v>
      </c>
      <c r="CO977">
        <v>6</v>
      </c>
      <c r="CP977" t="s">
        <v>119</v>
      </c>
      <c r="CQ977">
        <v>210</v>
      </c>
      <c r="CR977">
        <v>2</v>
      </c>
      <c r="CW977">
        <v>2402970</v>
      </c>
      <c r="CY977">
        <v>1</v>
      </c>
      <c r="CZ977">
        <v>0</v>
      </c>
      <c r="DA977">
        <v>0</v>
      </c>
      <c r="DB977">
        <v>0</v>
      </c>
      <c r="DC977">
        <v>0</v>
      </c>
      <c r="DD977">
        <v>1</v>
      </c>
      <c r="DE977">
        <v>0</v>
      </c>
      <c r="DF977">
        <v>0</v>
      </c>
      <c r="DG977">
        <v>0</v>
      </c>
      <c r="DH977">
        <v>0</v>
      </c>
      <c r="DI977">
        <v>0</v>
      </c>
    </row>
    <row r="978" spans="1:113" x14ac:dyDescent="0.3">
      <c r="A978" t="str">
        <f>"09/28/2021 13:58:37.496"</f>
        <v>09/28/2021 13:58:37.496</v>
      </c>
      <c r="C978" t="str">
        <f t="shared" si="47"/>
        <v>FFDFD3C0</v>
      </c>
      <c r="D978" t="s">
        <v>113</v>
      </c>
      <c r="E978">
        <v>7</v>
      </c>
      <c r="H978">
        <v>170</v>
      </c>
      <c r="I978" t="s">
        <v>114</v>
      </c>
      <c r="J978" t="s">
        <v>115</v>
      </c>
      <c r="K978">
        <v>0</v>
      </c>
      <c r="L978">
        <v>3</v>
      </c>
      <c r="M978">
        <v>0</v>
      </c>
      <c r="N978">
        <v>2</v>
      </c>
      <c r="O978">
        <v>1</v>
      </c>
      <c r="P978">
        <v>0</v>
      </c>
      <c r="Q978">
        <v>0</v>
      </c>
      <c r="S978" t="str">
        <f>"13:58:37.297"</f>
        <v>13:58:37.297</v>
      </c>
      <c r="T978" t="str">
        <f>"13:58:36.897"</f>
        <v>13:58:36.897</v>
      </c>
      <c r="U978" t="str">
        <f t="shared" si="49"/>
        <v>A92BC1</v>
      </c>
      <c r="V978">
        <v>0</v>
      </c>
      <c r="W978">
        <v>0</v>
      </c>
      <c r="X978">
        <v>2</v>
      </c>
      <c r="Z978">
        <v>0</v>
      </c>
      <c r="AA978">
        <v>9</v>
      </c>
      <c r="AB978">
        <v>3</v>
      </c>
      <c r="AC978">
        <v>0</v>
      </c>
      <c r="AD978">
        <v>10</v>
      </c>
      <c r="AE978">
        <v>0</v>
      </c>
      <c r="AF978">
        <v>3</v>
      </c>
      <c r="AG978">
        <v>2</v>
      </c>
      <c r="AH978">
        <v>0</v>
      </c>
      <c r="AI978" t="s">
        <v>1078</v>
      </c>
      <c r="AJ978">
        <v>45.871696</v>
      </c>
      <c r="AK978" t="s">
        <v>1079</v>
      </c>
      <c r="AL978">
        <v>-89.131608</v>
      </c>
      <c r="AM978">
        <v>100</v>
      </c>
      <c r="AN978">
        <v>15500</v>
      </c>
      <c r="AO978" t="s">
        <v>118</v>
      </c>
      <c r="AP978">
        <v>155</v>
      </c>
      <c r="AQ978">
        <v>124</v>
      </c>
      <c r="AR978">
        <v>640</v>
      </c>
      <c r="AZ978">
        <v>1200</v>
      </c>
      <c r="BA978">
        <v>1</v>
      </c>
      <c r="BB978" t="str">
        <f t="shared" si="48"/>
        <v xml:space="preserve">N690LS  </v>
      </c>
      <c r="BC978">
        <v>1</v>
      </c>
      <c r="BE978">
        <v>0</v>
      </c>
      <c r="BF978">
        <v>0</v>
      </c>
      <c r="BG978">
        <v>0</v>
      </c>
      <c r="BH978">
        <v>16050</v>
      </c>
      <c r="BI978">
        <v>1</v>
      </c>
      <c r="BJ978">
        <v>1</v>
      </c>
      <c r="BK978">
        <v>1</v>
      </c>
      <c r="BL978">
        <v>0</v>
      </c>
      <c r="BO978">
        <v>0</v>
      </c>
      <c r="BP978">
        <v>0</v>
      </c>
      <c r="BW978" t="str">
        <f>"13:58:37.302"</f>
        <v>13:58:37.302</v>
      </c>
      <c r="CJ978">
        <v>0</v>
      </c>
      <c r="CK978">
        <v>2</v>
      </c>
      <c r="CL978">
        <v>0</v>
      </c>
      <c r="CM978">
        <v>2</v>
      </c>
      <c r="CN978">
        <v>0</v>
      </c>
      <c r="CO978">
        <v>6</v>
      </c>
      <c r="CP978" t="s">
        <v>119</v>
      </c>
      <c r="CQ978">
        <v>210</v>
      </c>
      <c r="CR978">
        <v>2</v>
      </c>
      <c r="CW978">
        <v>2402970</v>
      </c>
      <c r="CY978">
        <v>1</v>
      </c>
      <c r="CZ978">
        <v>0</v>
      </c>
      <c r="DA978">
        <v>1</v>
      </c>
      <c r="DB978">
        <v>0</v>
      </c>
      <c r="DC978">
        <v>0</v>
      </c>
      <c r="DD978">
        <v>1</v>
      </c>
      <c r="DE978">
        <v>0</v>
      </c>
      <c r="DF978">
        <v>0</v>
      </c>
      <c r="DG978">
        <v>0</v>
      </c>
      <c r="DH978">
        <v>0</v>
      </c>
      <c r="DI978">
        <v>0</v>
      </c>
    </row>
    <row r="979" spans="1:113" x14ac:dyDescent="0.3">
      <c r="A979" t="str">
        <f>"09/28/2021 13:58:38.480"</f>
        <v>09/28/2021 13:58:38.480</v>
      </c>
      <c r="C979" t="str">
        <f t="shared" si="47"/>
        <v>FFDFD3C0</v>
      </c>
      <c r="D979" t="s">
        <v>113</v>
      </c>
      <c r="E979">
        <v>7</v>
      </c>
      <c r="H979">
        <v>170</v>
      </c>
      <c r="I979" t="s">
        <v>114</v>
      </c>
      <c r="J979" t="s">
        <v>115</v>
      </c>
      <c r="K979">
        <v>0</v>
      </c>
      <c r="L979">
        <v>3</v>
      </c>
      <c r="M979">
        <v>0</v>
      </c>
      <c r="N979">
        <v>2</v>
      </c>
      <c r="O979">
        <v>1</v>
      </c>
      <c r="P979">
        <v>0</v>
      </c>
      <c r="Q979">
        <v>0</v>
      </c>
      <c r="S979" t="str">
        <f>"13:58:38.273"</f>
        <v>13:58:38.273</v>
      </c>
      <c r="T979" t="str">
        <f>"13:58:37.873"</f>
        <v>13:58:37.873</v>
      </c>
      <c r="U979" t="str">
        <f t="shared" si="49"/>
        <v>A92BC1</v>
      </c>
      <c r="V979">
        <v>0</v>
      </c>
      <c r="W979">
        <v>0</v>
      </c>
      <c r="X979">
        <v>2</v>
      </c>
      <c r="Z979">
        <v>0</v>
      </c>
      <c r="AA979">
        <v>9</v>
      </c>
      <c r="AB979">
        <v>3</v>
      </c>
      <c r="AC979">
        <v>0</v>
      </c>
      <c r="AD979">
        <v>10</v>
      </c>
      <c r="AE979">
        <v>0</v>
      </c>
      <c r="AF979">
        <v>3</v>
      </c>
      <c r="AG979">
        <v>2</v>
      </c>
      <c r="AH979">
        <v>0</v>
      </c>
      <c r="AI979" t="s">
        <v>1080</v>
      </c>
      <c r="AJ979">
        <v>45.872253999999998</v>
      </c>
      <c r="AK979" t="s">
        <v>1081</v>
      </c>
      <c r="AL979">
        <v>-89.130578</v>
      </c>
      <c r="AM979">
        <v>100</v>
      </c>
      <c r="AN979">
        <v>15500</v>
      </c>
      <c r="AO979" t="s">
        <v>118</v>
      </c>
      <c r="AP979">
        <v>156</v>
      </c>
      <c r="AQ979">
        <v>124</v>
      </c>
      <c r="AR979">
        <v>576</v>
      </c>
      <c r="AZ979">
        <v>1200</v>
      </c>
      <c r="BA979">
        <v>1</v>
      </c>
      <c r="BB979" t="str">
        <f t="shared" si="48"/>
        <v xml:space="preserve">N690LS  </v>
      </c>
      <c r="BC979">
        <v>1</v>
      </c>
      <c r="BE979">
        <v>0</v>
      </c>
      <c r="BF979">
        <v>0</v>
      </c>
      <c r="BG979">
        <v>0</v>
      </c>
      <c r="BH979">
        <v>16050</v>
      </c>
      <c r="BI979">
        <v>1</v>
      </c>
      <c r="BJ979">
        <v>1</v>
      </c>
      <c r="BK979">
        <v>1</v>
      </c>
      <c r="BL979">
        <v>0</v>
      </c>
      <c r="BO979">
        <v>0</v>
      </c>
      <c r="BP979">
        <v>0</v>
      </c>
      <c r="BW979" t="str">
        <f>"13:58:38.275"</f>
        <v>13:58:38.275</v>
      </c>
      <c r="CJ979">
        <v>0</v>
      </c>
      <c r="CK979">
        <v>2</v>
      </c>
      <c r="CL979">
        <v>0</v>
      </c>
      <c r="CM979">
        <v>2</v>
      </c>
      <c r="CN979">
        <v>0</v>
      </c>
      <c r="CO979">
        <v>7</v>
      </c>
      <c r="CP979" t="s">
        <v>119</v>
      </c>
      <c r="CQ979">
        <v>209</v>
      </c>
      <c r="CR979">
        <v>3</v>
      </c>
      <c r="CW979">
        <v>7261764</v>
      </c>
      <c r="CY979">
        <v>1</v>
      </c>
      <c r="CZ979">
        <v>0</v>
      </c>
      <c r="DA979">
        <v>0</v>
      </c>
      <c r="DB979">
        <v>0</v>
      </c>
      <c r="DC979">
        <v>0</v>
      </c>
      <c r="DD979">
        <v>1</v>
      </c>
      <c r="DE979">
        <v>0</v>
      </c>
      <c r="DF979">
        <v>0</v>
      </c>
      <c r="DG979">
        <v>0</v>
      </c>
      <c r="DH979">
        <v>0</v>
      </c>
      <c r="DI979">
        <v>0</v>
      </c>
    </row>
    <row r="980" spans="1:113" x14ac:dyDescent="0.3">
      <c r="A980" t="str">
        <f>"09/28/2021 13:58:38.464"</f>
        <v>09/28/2021 13:58:38.464</v>
      </c>
      <c r="C980" t="str">
        <f t="shared" si="47"/>
        <v>FFDFD3C0</v>
      </c>
      <c r="D980" t="s">
        <v>120</v>
      </c>
      <c r="E980">
        <v>12</v>
      </c>
      <c r="F980">
        <v>1012</v>
      </c>
      <c r="G980" t="s">
        <v>114</v>
      </c>
      <c r="J980" t="s">
        <v>121</v>
      </c>
      <c r="K980">
        <v>0</v>
      </c>
      <c r="L980">
        <v>3</v>
      </c>
      <c r="M980">
        <v>0</v>
      </c>
      <c r="N980">
        <v>2</v>
      </c>
      <c r="O980">
        <v>1</v>
      </c>
      <c r="P980">
        <v>0</v>
      </c>
      <c r="Q980">
        <v>0</v>
      </c>
      <c r="S980" t="str">
        <f>"13:58:38.273"</f>
        <v>13:58:38.273</v>
      </c>
      <c r="T980" t="str">
        <f>"13:58:37.873"</f>
        <v>13:58:37.873</v>
      </c>
      <c r="U980" t="str">
        <f t="shared" si="49"/>
        <v>A92BC1</v>
      </c>
      <c r="V980">
        <v>0</v>
      </c>
      <c r="W980">
        <v>0</v>
      </c>
      <c r="X980">
        <v>2</v>
      </c>
      <c r="Z980">
        <v>0</v>
      </c>
      <c r="AA980">
        <v>9</v>
      </c>
      <c r="AB980">
        <v>3</v>
      </c>
      <c r="AC980">
        <v>0</v>
      </c>
      <c r="AD980">
        <v>10</v>
      </c>
      <c r="AE980">
        <v>0</v>
      </c>
      <c r="AF980">
        <v>3</v>
      </c>
      <c r="AG980">
        <v>2</v>
      </c>
      <c r="AH980">
        <v>0</v>
      </c>
      <c r="AI980" t="s">
        <v>1080</v>
      </c>
      <c r="AJ980">
        <v>45.872253999999998</v>
      </c>
      <c r="AK980" t="s">
        <v>1081</v>
      </c>
      <c r="AL980">
        <v>-89.130578</v>
      </c>
      <c r="AM980">
        <v>100</v>
      </c>
      <c r="AN980">
        <v>15500</v>
      </c>
      <c r="AO980" t="s">
        <v>118</v>
      </c>
      <c r="AP980">
        <v>156</v>
      </c>
      <c r="AQ980">
        <v>124</v>
      </c>
      <c r="AR980">
        <v>576</v>
      </c>
      <c r="AZ980">
        <v>1200</v>
      </c>
      <c r="BA980">
        <v>1</v>
      </c>
      <c r="BB980" t="str">
        <f t="shared" si="48"/>
        <v xml:space="preserve">N690LS  </v>
      </c>
      <c r="BC980">
        <v>1</v>
      </c>
      <c r="BE980">
        <v>0</v>
      </c>
      <c r="BF980">
        <v>0</v>
      </c>
      <c r="BG980">
        <v>0</v>
      </c>
      <c r="BH980">
        <v>16050</v>
      </c>
      <c r="BI980">
        <v>1</v>
      </c>
      <c r="BJ980">
        <v>1</v>
      </c>
      <c r="BK980">
        <v>1</v>
      </c>
      <c r="BL980">
        <v>0</v>
      </c>
      <c r="BO980">
        <v>0</v>
      </c>
      <c r="BP980">
        <v>0</v>
      </c>
      <c r="BW980" t="str">
        <f>"13:58:38.275"</f>
        <v>13:58:38.275</v>
      </c>
      <c r="CJ980">
        <v>0</v>
      </c>
      <c r="CK980">
        <v>2</v>
      </c>
      <c r="CL980">
        <v>0</v>
      </c>
      <c r="CM980">
        <v>2</v>
      </c>
      <c r="CN980">
        <v>0</v>
      </c>
      <c r="CO980">
        <v>7</v>
      </c>
      <c r="CP980" t="s">
        <v>119</v>
      </c>
      <c r="CQ980">
        <v>209</v>
      </c>
      <c r="CR980">
        <v>3</v>
      </c>
      <c r="CW980">
        <v>7261764</v>
      </c>
      <c r="CY980">
        <v>1</v>
      </c>
      <c r="CZ980">
        <v>0</v>
      </c>
      <c r="DA980">
        <v>1</v>
      </c>
      <c r="DB980">
        <v>0</v>
      </c>
      <c r="DC980">
        <v>0</v>
      </c>
      <c r="DD980">
        <v>1</v>
      </c>
      <c r="DE980">
        <v>0</v>
      </c>
      <c r="DF980">
        <v>0</v>
      </c>
      <c r="DG980">
        <v>0</v>
      </c>
      <c r="DH980">
        <v>0</v>
      </c>
      <c r="DI980">
        <v>0</v>
      </c>
    </row>
    <row r="981" spans="1:113" x14ac:dyDescent="0.3">
      <c r="A981" t="str">
        <f>"09/28/2021 13:58:39.529"</f>
        <v>09/28/2021 13:58:39.529</v>
      </c>
      <c r="C981" t="str">
        <f t="shared" si="47"/>
        <v>FFDFD3C0</v>
      </c>
      <c r="D981" t="s">
        <v>120</v>
      </c>
      <c r="E981">
        <v>12</v>
      </c>
      <c r="F981">
        <v>1012</v>
      </c>
      <c r="G981" t="s">
        <v>114</v>
      </c>
      <c r="J981" t="s">
        <v>121</v>
      </c>
      <c r="K981">
        <v>0</v>
      </c>
      <c r="L981">
        <v>3</v>
      </c>
      <c r="M981">
        <v>0</v>
      </c>
      <c r="N981">
        <v>2</v>
      </c>
      <c r="O981">
        <v>1</v>
      </c>
      <c r="P981">
        <v>0</v>
      </c>
      <c r="Q981">
        <v>0</v>
      </c>
      <c r="S981" t="str">
        <f>"13:58:39.344"</f>
        <v>13:58:39.344</v>
      </c>
      <c r="T981" t="str">
        <f>"13:58:38.844"</f>
        <v>13:58:38.844</v>
      </c>
      <c r="U981" t="str">
        <f t="shared" si="49"/>
        <v>A92BC1</v>
      </c>
      <c r="V981">
        <v>0</v>
      </c>
      <c r="W981">
        <v>0</v>
      </c>
      <c r="X981">
        <v>2</v>
      </c>
      <c r="Z981">
        <v>0</v>
      </c>
      <c r="AA981">
        <v>9</v>
      </c>
      <c r="AB981">
        <v>3</v>
      </c>
      <c r="AC981">
        <v>0</v>
      </c>
      <c r="AD981">
        <v>10</v>
      </c>
      <c r="AE981">
        <v>0</v>
      </c>
      <c r="AF981">
        <v>3</v>
      </c>
      <c r="AG981">
        <v>2</v>
      </c>
      <c r="AH981">
        <v>0</v>
      </c>
      <c r="AI981" t="s">
        <v>1082</v>
      </c>
      <c r="AJ981">
        <v>45.872855000000001</v>
      </c>
      <c r="AK981" t="s">
        <v>1083</v>
      </c>
      <c r="AL981">
        <v>-89.129397999999995</v>
      </c>
      <c r="AM981">
        <v>100</v>
      </c>
      <c r="AN981">
        <v>15500</v>
      </c>
      <c r="AO981" t="s">
        <v>118</v>
      </c>
      <c r="AP981">
        <v>156</v>
      </c>
      <c r="AQ981">
        <v>125</v>
      </c>
      <c r="AR981">
        <v>576</v>
      </c>
      <c r="AZ981">
        <v>1200</v>
      </c>
      <c r="BA981">
        <v>1</v>
      </c>
      <c r="BB981" t="str">
        <f t="shared" si="48"/>
        <v xml:space="preserve">N690LS  </v>
      </c>
      <c r="BC981">
        <v>1</v>
      </c>
      <c r="BE981">
        <v>0</v>
      </c>
      <c r="BF981">
        <v>0</v>
      </c>
      <c r="BG981">
        <v>0</v>
      </c>
      <c r="BH981">
        <v>16075</v>
      </c>
      <c r="BI981">
        <v>1</v>
      </c>
      <c r="BJ981">
        <v>1</v>
      </c>
      <c r="BK981">
        <v>1</v>
      </c>
      <c r="BL981">
        <v>0</v>
      </c>
      <c r="BO981">
        <v>0</v>
      </c>
      <c r="BP981">
        <v>0</v>
      </c>
      <c r="BW981" t="str">
        <f>"13:58:39.347"</f>
        <v>13:58:39.347</v>
      </c>
      <c r="CJ981">
        <v>0</v>
      </c>
      <c r="CK981">
        <v>2</v>
      </c>
      <c r="CL981">
        <v>0</v>
      </c>
      <c r="CM981">
        <v>2</v>
      </c>
      <c r="CN981">
        <v>0</v>
      </c>
      <c r="CO981">
        <v>6</v>
      </c>
      <c r="CP981" t="s">
        <v>119</v>
      </c>
      <c r="CQ981">
        <v>210</v>
      </c>
      <c r="CR981">
        <v>2</v>
      </c>
      <c r="CW981">
        <v>2404342</v>
      </c>
      <c r="CY981">
        <v>1</v>
      </c>
      <c r="CZ981">
        <v>0</v>
      </c>
      <c r="DA981">
        <v>0</v>
      </c>
      <c r="DB981">
        <v>0</v>
      </c>
      <c r="DC981">
        <v>0</v>
      </c>
      <c r="DD981">
        <v>1</v>
      </c>
      <c r="DE981">
        <v>0</v>
      </c>
      <c r="DF981">
        <v>0</v>
      </c>
      <c r="DG981">
        <v>0</v>
      </c>
      <c r="DH981">
        <v>0</v>
      </c>
      <c r="DI981">
        <v>0</v>
      </c>
    </row>
    <row r="982" spans="1:113" x14ac:dyDescent="0.3">
      <c r="A982" t="str">
        <f>"09/28/2021 13:58:39.529"</f>
        <v>09/28/2021 13:58:39.529</v>
      </c>
      <c r="C982" t="str">
        <f t="shared" si="47"/>
        <v>FFDFD3C0</v>
      </c>
      <c r="D982" t="s">
        <v>113</v>
      </c>
      <c r="E982">
        <v>7</v>
      </c>
      <c r="H982">
        <v>170</v>
      </c>
      <c r="I982" t="s">
        <v>114</v>
      </c>
      <c r="J982" t="s">
        <v>115</v>
      </c>
      <c r="K982">
        <v>0</v>
      </c>
      <c r="L982">
        <v>3</v>
      </c>
      <c r="M982">
        <v>0</v>
      </c>
      <c r="N982">
        <v>2</v>
      </c>
      <c r="O982">
        <v>1</v>
      </c>
      <c r="P982">
        <v>0</v>
      </c>
      <c r="Q982">
        <v>0</v>
      </c>
      <c r="S982" t="str">
        <f>"13:58:39.344"</f>
        <v>13:58:39.344</v>
      </c>
      <c r="T982" t="str">
        <f>"13:58:38.844"</f>
        <v>13:58:38.844</v>
      </c>
      <c r="U982" t="str">
        <f t="shared" si="49"/>
        <v>A92BC1</v>
      </c>
      <c r="V982">
        <v>0</v>
      </c>
      <c r="W982">
        <v>0</v>
      </c>
      <c r="X982">
        <v>2</v>
      </c>
      <c r="Z982">
        <v>0</v>
      </c>
      <c r="AA982">
        <v>9</v>
      </c>
      <c r="AB982">
        <v>3</v>
      </c>
      <c r="AC982">
        <v>0</v>
      </c>
      <c r="AD982">
        <v>10</v>
      </c>
      <c r="AE982">
        <v>0</v>
      </c>
      <c r="AF982">
        <v>3</v>
      </c>
      <c r="AG982">
        <v>2</v>
      </c>
      <c r="AH982">
        <v>0</v>
      </c>
      <c r="AI982" t="s">
        <v>1082</v>
      </c>
      <c r="AJ982">
        <v>45.872855000000001</v>
      </c>
      <c r="AK982" t="s">
        <v>1083</v>
      </c>
      <c r="AL982">
        <v>-89.129397999999995</v>
      </c>
      <c r="AM982">
        <v>100</v>
      </c>
      <c r="AN982">
        <v>15500</v>
      </c>
      <c r="AO982" t="s">
        <v>118</v>
      </c>
      <c r="AP982">
        <v>156</v>
      </c>
      <c r="AQ982">
        <v>125</v>
      </c>
      <c r="AR982">
        <v>576</v>
      </c>
      <c r="AZ982">
        <v>1200</v>
      </c>
      <c r="BA982">
        <v>1</v>
      </c>
      <c r="BB982" t="str">
        <f t="shared" si="48"/>
        <v xml:space="preserve">N690LS  </v>
      </c>
      <c r="BC982">
        <v>1</v>
      </c>
      <c r="BE982">
        <v>0</v>
      </c>
      <c r="BF982">
        <v>0</v>
      </c>
      <c r="BG982">
        <v>0</v>
      </c>
      <c r="BH982">
        <v>16075</v>
      </c>
      <c r="BI982">
        <v>1</v>
      </c>
      <c r="BJ982">
        <v>1</v>
      </c>
      <c r="BK982">
        <v>1</v>
      </c>
      <c r="BL982">
        <v>0</v>
      </c>
      <c r="BO982">
        <v>0</v>
      </c>
      <c r="BP982">
        <v>0</v>
      </c>
      <c r="BW982" t="str">
        <f>"13:58:39.347"</f>
        <v>13:58:39.347</v>
      </c>
      <c r="CJ982">
        <v>0</v>
      </c>
      <c r="CK982">
        <v>2</v>
      </c>
      <c r="CL982">
        <v>0</v>
      </c>
      <c r="CM982">
        <v>2</v>
      </c>
      <c r="CN982">
        <v>0</v>
      </c>
      <c r="CO982">
        <v>6</v>
      </c>
      <c r="CP982" t="s">
        <v>119</v>
      </c>
      <c r="CQ982">
        <v>210</v>
      </c>
      <c r="CR982">
        <v>2</v>
      </c>
      <c r="CW982">
        <v>2404342</v>
      </c>
      <c r="CY982">
        <v>1</v>
      </c>
      <c r="CZ982">
        <v>0</v>
      </c>
      <c r="DA982">
        <v>1</v>
      </c>
      <c r="DB982">
        <v>0</v>
      </c>
      <c r="DC982">
        <v>0</v>
      </c>
      <c r="DD982">
        <v>1</v>
      </c>
      <c r="DE982">
        <v>0</v>
      </c>
      <c r="DF982">
        <v>0</v>
      </c>
      <c r="DG982">
        <v>0</v>
      </c>
      <c r="DH982">
        <v>0</v>
      </c>
      <c r="DI982">
        <v>0</v>
      </c>
    </row>
    <row r="983" spans="1:113" x14ac:dyDescent="0.3">
      <c r="A983" t="str">
        <f>"09/28/2021 13:58:40.485"</f>
        <v>09/28/2021 13:58:40.485</v>
      </c>
      <c r="C983" t="str">
        <f t="shared" si="47"/>
        <v>FFDFD3C0</v>
      </c>
      <c r="D983" t="s">
        <v>113</v>
      </c>
      <c r="E983">
        <v>7</v>
      </c>
      <c r="H983">
        <v>170</v>
      </c>
      <c r="I983" t="s">
        <v>114</v>
      </c>
      <c r="J983" t="s">
        <v>115</v>
      </c>
      <c r="K983">
        <v>0</v>
      </c>
      <c r="L983">
        <v>3</v>
      </c>
      <c r="M983">
        <v>0</v>
      </c>
      <c r="N983">
        <v>2</v>
      </c>
      <c r="O983">
        <v>1</v>
      </c>
      <c r="P983">
        <v>0</v>
      </c>
      <c r="Q983">
        <v>0</v>
      </c>
      <c r="S983" t="str">
        <f>"13:58:40.313"</f>
        <v>13:58:40.313</v>
      </c>
      <c r="T983" t="str">
        <f>"13:58:39.813"</f>
        <v>13:58:39.813</v>
      </c>
      <c r="U983" t="str">
        <f t="shared" si="49"/>
        <v>A92BC1</v>
      </c>
      <c r="V983">
        <v>0</v>
      </c>
      <c r="W983">
        <v>0</v>
      </c>
      <c r="X983">
        <v>2</v>
      </c>
      <c r="Z983">
        <v>0</v>
      </c>
      <c r="AA983">
        <v>9</v>
      </c>
      <c r="AB983">
        <v>3</v>
      </c>
      <c r="AC983">
        <v>0</v>
      </c>
      <c r="AD983">
        <v>10</v>
      </c>
      <c r="AE983">
        <v>0</v>
      </c>
      <c r="AF983">
        <v>3</v>
      </c>
      <c r="AG983">
        <v>2</v>
      </c>
      <c r="AH983">
        <v>0</v>
      </c>
      <c r="AI983" t="s">
        <v>1084</v>
      </c>
      <c r="AJ983">
        <v>45.873412999999999</v>
      </c>
      <c r="AK983" t="s">
        <v>1085</v>
      </c>
      <c r="AL983">
        <v>-89.128518</v>
      </c>
      <c r="AM983">
        <v>100</v>
      </c>
      <c r="AN983">
        <v>15500</v>
      </c>
      <c r="AO983" t="s">
        <v>118</v>
      </c>
      <c r="AP983">
        <v>157</v>
      </c>
      <c r="AQ983">
        <v>125</v>
      </c>
      <c r="AR983">
        <v>576</v>
      </c>
      <c r="AZ983">
        <v>1200</v>
      </c>
      <c r="BA983">
        <v>1</v>
      </c>
      <c r="BB983" t="str">
        <f t="shared" si="48"/>
        <v xml:space="preserve">N690LS  </v>
      </c>
      <c r="BC983">
        <v>1</v>
      </c>
      <c r="BE983">
        <v>0</v>
      </c>
      <c r="BF983">
        <v>0</v>
      </c>
      <c r="BG983">
        <v>0</v>
      </c>
      <c r="BH983">
        <v>16075</v>
      </c>
      <c r="BI983">
        <v>1</v>
      </c>
      <c r="BJ983">
        <v>1</v>
      </c>
      <c r="BK983">
        <v>1</v>
      </c>
      <c r="BL983">
        <v>0</v>
      </c>
      <c r="BO983">
        <v>0</v>
      </c>
      <c r="BP983">
        <v>0</v>
      </c>
      <c r="BW983" t="str">
        <f>"13:58:40.319"</f>
        <v>13:58:40.319</v>
      </c>
      <c r="CJ983">
        <v>0</v>
      </c>
      <c r="CK983">
        <v>2</v>
      </c>
      <c r="CL983">
        <v>0</v>
      </c>
      <c r="CM983">
        <v>2</v>
      </c>
      <c r="CN983">
        <v>0</v>
      </c>
      <c r="CO983">
        <v>7</v>
      </c>
      <c r="CP983" t="s">
        <v>119</v>
      </c>
      <c r="CQ983">
        <v>209</v>
      </c>
      <c r="CR983">
        <v>3</v>
      </c>
      <c r="CW983">
        <v>7262436</v>
      </c>
      <c r="CY983">
        <v>1</v>
      </c>
      <c r="CZ983">
        <v>0</v>
      </c>
      <c r="DA983">
        <v>0</v>
      </c>
      <c r="DB983">
        <v>0</v>
      </c>
      <c r="DC983">
        <v>0</v>
      </c>
      <c r="DD983">
        <v>1</v>
      </c>
      <c r="DE983">
        <v>0</v>
      </c>
      <c r="DF983">
        <v>0</v>
      </c>
      <c r="DG983">
        <v>0</v>
      </c>
      <c r="DH983">
        <v>0</v>
      </c>
      <c r="DI983">
        <v>0</v>
      </c>
    </row>
    <row r="984" spans="1:113" x14ac:dyDescent="0.3">
      <c r="A984" t="str">
        <f>"09/28/2021 13:58:40.532"</f>
        <v>09/28/2021 13:58:40.532</v>
      </c>
      <c r="C984" t="str">
        <f t="shared" si="47"/>
        <v>FFDFD3C0</v>
      </c>
      <c r="D984" t="s">
        <v>120</v>
      </c>
      <c r="E984">
        <v>12</v>
      </c>
      <c r="F984">
        <v>1012</v>
      </c>
      <c r="G984" t="s">
        <v>114</v>
      </c>
      <c r="J984" t="s">
        <v>121</v>
      </c>
      <c r="K984">
        <v>0</v>
      </c>
      <c r="L984">
        <v>3</v>
      </c>
      <c r="M984">
        <v>0</v>
      </c>
      <c r="N984">
        <v>2</v>
      </c>
      <c r="O984">
        <v>1</v>
      </c>
      <c r="P984">
        <v>0</v>
      </c>
      <c r="Q984">
        <v>0</v>
      </c>
      <c r="S984" t="str">
        <f>"13:58:40.313"</f>
        <v>13:58:40.313</v>
      </c>
      <c r="T984" t="str">
        <f>"13:58:39.813"</f>
        <v>13:58:39.813</v>
      </c>
      <c r="U984" t="str">
        <f t="shared" si="49"/>
        <v>A92BC1</v>
      </c>
      <c r="V984">
        <v>0</v>
      </c>
      <c r="W984">
        <v>0</v>
      </c>
      <c r="X984">
        <v>2</v>
      </c>
      <c r="Z984">
        <v>0</v>
      </c>
      <c r="AA984">
        <v>9</v>
      </c>
      <c r="AB984">
        <v>3</v>
      </c>
      <c r="AC984">
        <v>0</v>
      </c>
      <c r="AD984">
        <v>10</v>
      </c>
      <c r="AE984">
        <v>0</v>
      </c>
      <c r="AF984">
        <v>3</v>
      </c>
      <c r="AG984">
        <v>2</v>
      </c>
      <c r="AH984">
        <v>0</v>
      </c>
      <c r="AI984" t="s">
        <v>1084</v>
      </c>
      <c r="AJ984">
        <v>45.873412999999999</v>
      </c>
      <c r="AK984" t="s">
        <v>1085</v>
      </c>
      <c r="AL984">
        <v>-89.128518</v>
      </c>
      <c r="AM984">
        <v>100</v>
      </c>
      <c r="AN984">
        <v>15500</v>
      </c>
      <c r="AO984" t="s">
        <v>118</v>
      </c>
      <c r="AP984">
        <v>157</v>
      </c>
      <c r="AQ984">
        <v>125</v>
      </c>
      <c r="AR984">
        <v>576</v>
      </c>
      <c r="AZ984">
        <v>1200</v>
      </c>
      <c r="BA984">
        <v>1</v>
      </c>
      <c r="BB984" t="str">
        <f t="shared" si="48"/>
        <v xml:space="preserve">N690LS  </v>
      </c>
      <c r="BC984">
        <v>1</v>
      </c>
      <c r="BE984">
        <v>0</v>
      </c>
      <c r="BF984">
        <v>0</v>
      </c>
      <c r="BG984">
        <v>0</v>
      </c>
      <c r="BH984">
        <v>16075</v>
      </c>
      <c r="BI984">
        <v>1</v>
      </c>
      <c r="BJ984">
        <v>1</v>
      </c>
      <c r="BK984">
        <v>1</v>
      </c>
      <c r="BL984">
        <v>0</v>
      </c>
      <c r="BO984">
        <v>0</v>
      </c>
      <c r="BP984">
        <v>0</v>
      </c>
      <c r="BW984" t="str">
        <f>"13:58:40.319"</f>
        <v>13:58:40.319</v>
      </c>
      <c r="CJ984">
        <v>0</v>
      </c>
      <c r="CK984">
        <v>2</v>
      </c>
      <c r="CL984">
        <v>0</v>
      </c>
      <c r="CM984">
        <v>2</v>
      </c>
      <c r="CN984">
        <v>0</v>
      </c>
      <c r="CO984">
        <v>7</v>
      </c>
      <c r="CP984" t="s">
        <v>119</v>
      </c>
      <c r="CQ984">
        <v>209</v>
      </c>
      <c r="CR984">
        <v>3</v>
      </c>
      <c r="CW984">
        <v>7262436</v>
      </c>
      <c r="CY984">
        <v>1</v>
      </c>
      <c r="CZ984">
        <v>0</v>
      </c>
      <c r="DA984">
        <v>1</v>
      </c>
      <c r="DB984">
        <v>0</v>
      </c>
      <c r="DC984">
        <v>0</v>
      </c>
      <c r="DD984">
        <v>1</v>
      </c>
      <c r="DE984">
        <v>0</v>
      </c>
      <c r="DF984">
        <v>0</v>
      </c>
      <c r="DG984">
        <v>0</v>
      </c>
      <c r="DH984">
        <v>0</v>
      </c>
      <c r="DI984">
        <v>0</v>
      </c>
    </row>
    <row r="985" spans="1:113" x14ac:dyDescent="0.3">
      <c r="A985" t="str">
        <f>"09/28/2021 13:58:41.438"</f>
        <v>09/28/2021 13:58:41.438</v>
      </c>
      <c r="C985" t="str">
        <f t="shared" si="47"/>
        <v>FFDFD3C0</v>
      </c>
      <c r="D985" t="s">
        <v>120</v>
      </c>
      <c r="E985">
        <v>12</v>
      </c>
      <c r="F985">
        <v>1012</v>
      </c>
      <c r="G985" t="s">
        <v>114</v>
      </c>
      <c r="J985" t="s">
        <v>121</v>
      </c>
      <c r="K985">
        <v>0</v>
      </c>
      <c r="L985">
        <v>3</v>
      </c>
      <c r="M985">
        <v>0</v>
      </c>
      <c r="N985">
        <v>2</v>
      </c>
      <c r="O985">
        <v>1</v>
      </c>
      <c r="P985">
        <v>0</v>
      </c>
      <c r="Q985">
        <v>0</v>
      </c>
      <c r="S985" t="str">
        <f>"13:58:41.250"</f>
        <v>13:58:41.250</v>
      </c>
      <c r="T985" t="str">
        <f>"13:58:40.850"</f>
        <v>13:58:40.850</v>
      </c>
      <c r="U985" t="str">
        <f t="shared" si="49"/>
        <v>A92BC1</v>
      </c>
      <c r="V985">
        <v>0</v>
      </c>
      <c r="W985">
        <v>0</v>
      </c>
      <c r="X985">
        <v>2</v>
      </c>
      <c r="Z985">
        <v>0</v>
      </c>
      <c r="AA985">
        <v>9</v>
      </c>
      <c r="AB985">
        <v>3</v>
      </c>
      <c r="AC985">
        <v>0</v>
      </c>
      <c r="AD985">
        <v>10</v>
      </c>
      <c r="AE985">
        <v>0</v>
      </c>
      <c r="AF985">
        <v>3</v>
      </c>
      <c r="AG985">
        <v>2</v>
      </c>
      <c r="AH985">
        <v>0</v>
      </c>
      <c r="AI985" t="s">
        <v>1086</v>
      </c>
      <c r="AJ985">
        <v>45.873970999999997</v>
      </c>
      <c r="AK985" t="s">
        <v>1087</v>
      </c>
      <c r="AL985">
        <v>-89.127488</v>
      </c>
      <c r="AM985">
        <v>100</v>
      </c>
      <c r="AN985">
        <v>15600</v>
      </c>
      <c r="AO985" t="s">
        <v>118</v>
      </c>
      <c r="AP985">
        <v>157</v>
      </c>
      <c r="AQ985">
        <v>125</v>
      </c>
      <c r="AR985">
        <v>576</v>
      </c>
      <c r="AZ985">
        <v>1200</v>
      </c>
      <c r="BA985">
        <v>1</v>
      </c>
      <c r="BB985" t="str">
        <f t="shared" si="48"/>
        <v xml:space="preserve">N690LS  </v>
      </c>
      <c r="BC985">
        <v>1</v>
      </c>
      <c r="BE985">
        <v>0</v>
      </c>
      <c r="BF985">
        <v>0</v>
      </c>
      <c r="BG985">
        <v>0</v>
      </c>
      <c r="BH985">
        <v>16075</v>
      </c>
      <c r="BI985">
        <v>1</v>
      </c>
      <c r="BJ985">
        <v>1</v>
      </c>
      <c r="BK985">
        <v>1</v>
      </c>
      <c r="BL985">
        <v>0</v>
      </c>
      <c r="BO985">
        <v>0</v>
      </c>
      <c r="BP985">
        <v>0</v>
      </c>
      <c r="BW985" t="str">
        <f>"13:58:41.257"</f>
        <v>13:58:41.257</v>
      </c>
      <c r="CJ985">
        <v>0</v>
      </c>
      <c r="CK985">
        <v>2</v>
      </c>
      <c r="CL985">
        <v>0</v>
      </c>
      <c r="CM985">
        <v>2</v>
      </c>
      <c r="CN985">
        <v>0</v>
      </c>
      <c r="CO985">
        <v>7</v>
      </c>
      <c r="CP985" t="s">
        <v>119</v>
      </c>
      <c r="CQ985">
        <v>197</v>
      </c>
      <c r="CR985">
        <v>0</v>
      </c>
      <c r="CW985">
        <v>16081733</v>
      </c>
      <c r="CY985">
        <v>1</v>
      </c>
      <c r="CZ985">
        <v>0</v>
      </c>
      <c r="DA985">
        <v>0</v>
      </c>
      <c r="DB985">
        <v>0</v>
      </c>
      <c r="DC985">
        <v>0</v>
      </c>
      <c r="DD985">
        <v>1</v>
      </c>
      <c r="DE985">
        <v>0</v>
      </c>
      <c r="DF985">
        <v>0</v>
      </c>
      <c r="DG985">
        <v>0</v>
      </c>
      <c r="DH985">
        <v>0</v>
      </c>
      <c r="DI985">
        <v>0</v>
      </c>
    </row>
    <row r="986" spans="1:113" x14ac:dyDescent="0.3">
      <c r="A986" t="str">
        <f>"09/28/2021 13:58:41.512"</f>
        <v>09/28/2021 13:58:41.512</v>
      </c>
      <c r="C986" t="str">
        <f t="shared" si="47"/>
        <v>FFDFD3C0</v>
      </c>
      <c r="D986" t="s">
        <v>113</v>
      </c>
      <c r="E986">
        <v>7</v>
      </c>
      <c r="H986">
        <v>170</v>
      </c>
      <c r="I986" t="s">
        <v>114</v>
      </c>
      <c r="J986" t="s">
        <v>115</v>
      </c>
      <c r="K986">
        <v>0</v>
      </c>
      <c r="L986">
        <v>3</v>
      </c>
      <c r="M986">
        <v>0</v>
      </c>
      <c r="N986">
        <v>2</v>
      </c>
      <c r="O986">
        <v>1</v>
      </c>
      <c r="P986">
        <v>0</v>
      </c>
      <c r="Q986">
        <v>0</v>
      </c>
      <c r="S986" t="str">
        <f>"13:58:41.250"</f>
        <v>13:58:41.250</v>
      </c>
      <c r="T986" t="str">
        <f>"13:58:40.850"</f>
        <v>13:58:40.850</v>
      </c>
      <c r="U986" t="str">
        <f t="shared" si="49"/>
        <v>A92BC1</v>
      </c>
      <c r="V986">
        <v>0</v>
      </c>
      <c r="W986">
        <v>0</v>
      </c>
      <c r="X986">
        <v>2</v>
      </c>
      <c r="Z986">
        <v>0</v>
      </c>
      <c r="AA986">
        <v>9</v>
      </c>
      <c r="AB986">
        <v>3</v>
      </c>
      <c r="AC986">
        <v>0</v>
      </c>
      <c r="AD986">
        <v>10</v>
      </c>
      <c r="AE986">
        <v>0</v>
      </c>
      <c r="AF986">
        <v>3</v>
      </c>
      <c r="AG986">
        <v>2</v>
      </c>
      <c r="AH986">
        <v>0</v>
      </c>
      <c r="AI986" t="s">
        <v>1086</v>
      </c>
      <c r="AJ986">
        <v>45.873970999999997</v>
      </c>
      <c r="AK986" t="s">
        <v>1087</v>
      </c>
      <c r="AL986">
        <v>-89.127488</v>
      </c>
      <c r="AM986">
        <v>100</v>
      </c>
      <c r="AN986">
        <v>15600</v>
      </c>
      <c r="AO986" t="s">
        <v>118</v>
      </c>
      <c r="AP986">
        <v>157</v>
      </c>
      <c r="AQ986">
        <v>125</v>
      </c>
      <c r="AR986">
        <v>576</v>
      </c>
      <c r="AZ986">
        <v>1200</v>
      </c>
      <c r="BA986">
        <v>1</v>
      </c>
      <c r="BB986" t="str">
        <f t="shared" si="48"/>
        <v xml:space="preserve">N690LS  </v>
      </c>
      <c r="BC986">
        <v>1</v>
      </c>
      <c r="BE986">
        <v>0</v>
      </c>
      <c r="BF986">
        <v>0</v>
      </c>
      <c r="BG986">
        <v>0</v>
      </c>
      <c r="BH986">
        <v>16075</v>
      </c>
      <c r="BI986">
        <v>1</v>
      </c>
      <c r="BJ986">
        <v>1</v>
      </c>
      <c r="BK986">
        <v>1</v>
      </c>
      <c r="BL986">
        <v>0</v>
      </c>
      <c r="BO986">
        <v>0</v>
      </c>
      <c r="BP986">
        <v>0</v>
      </c>
      <c r="BW986" t="str">
        <f>"13:58:41.257"</f>
        <v>13:58:41.257</v>
      </c>
      <c r="CJ986">
        <v>0</v>
      </c>
      <c r="CK986">
        <v>2</v>
      </c>
      <c r="CL986">
        <v>0</v>
      </c>
      <c r="CM986">
        <v>2</v>
      </c>
      <c r="CN986">
        <v>0</v>
      </c>
      <c r="CO986">
        <v>7</v>
      </c>
      <c r="CP986" t="s">
        <v>119</v>
      </c>
      <c r="CQ986">
        <v>197</v>
      </c>
      <c r="CR986">
        <v>0</v>
      </c>
      <c r="CW986">
        <v>16081733</v>
      </c>
      <c r="CY986">
        <v>1</v>
      </c>
      <c r="CZ986">
        <v>0</v>
      </c>
      <c r="DA986">
        <v>1</v>
      </c>
      <c r="DB986">
        <v>0</v>
      </c>
      <c r="DC986">
        <v>0</v>
      </c>
      <c r="DD986">
        <v>1</v>
      </c>
      <c r="DE986">
        <v>0</v>
      </c>
      <c r="DF986">
        <v>0</v>
      </c>
      <c r="DG986">
        <v>0</v>
      </c>
      <c r="DH986">
        <v>0</v>
      </c>
      <c r="DI986">
        <v>0</v>
      </c>
    </row>
    <row r="987" spans="1:113" x14ac:dyDescent="0.3">
      <c r="A987" t="str">
        <f>"09/28/2021 13:58:42.574"</f>
        <v>09/28/2021 13:58:42.574</v>
      </c>
      <c r="C987" t="str">
        <f t="shared" si="47"/>
        <v>FFDFD3C0</v>
      </c>
      <c r="D987" t="s">
        <v>120</v>
      </c>
      <c r="E987">
        <v>12</v>
      </c>
      <c r="F987">
        <v>1012</v>
      </c>
      <c r="G987" t="s">
        <v>114</v>
      </c>
      <c r="J987" t="s">
        <v>121</v>
      </c>
      <c r="K987">
        <v>0</v>
      </c>
      <c r="L987">
        <v>3</v>
      </c>
      <c r="M987">
        <v>0</v>
      </c>
      <c r="N987">
        <v>2</v>
      </c>
      <c r="O987">
        <v>1</v>
      </c>
      <c r="P987">
        <v>0</v>
      </c>
      <c r="Q987">
        <v>0</v>
      </c>
      <c r="S987" t="str">
        <f>"13:58:42.344"</f>
        <v>13:58:42.344</v>
      </c>
      <c r="T987" t="str">
        <f>"13:58:41.844"</f>
        <v>13:58:41.844</v>
      </c>
      <c r="U987" t="str">
        <f t="shared" si="49"/>
        <v>A92BC1</v>
      </c>
      <c r="V987">
        <v>0</v>
      </c>
      <c r="W987">
        <v>0</v>
      </c>
      <c r="X987">
        <v>2</v>
      </c>
      <c r="Z987">
        <v>0</v>
      </c>
      <c r="AA987">
        <v>9</v>
      </c>
      <c r="AB987">
        <v>3</v>
      </c>
      <c r="AC987">
        <v>0</v>
      </c>
      <c r="AD987">
        <v>10</v>
      </c>
      <c r="AE987">
        <v>0</v>
      </c>
      <c r="AF987">
        <v>3</v>
      </c>
      <c r="AG987">
        <v>2</v>
      </c>
      <c r="AH987">
        <v>0</v>
      </c>
      <c r="AI987" t="s">
        <v>1088</v>
      </c>
      <c r="AJ987">
        <v>45.874592999999997</v>
      </c>
      <c r="AK987" t="s">
        <v>1089</v>
      </c>
      <c r="AL987">
        <v>-89.126328999999998</v>
      </c>
      <c r="AM987">
        <v>100</v>
      </c>
      <c r="AN987">
        <v>15600</v>
      </c>
      <c r="AO987" t="s">
        <v>118</v>
      </c>
      <c r="AP987">
        <v>158</v>
      </c>
      <c r="AQ987">
        <v>125</v>
      </c>
      <c r="AR987">
        <v>576</v>
      </c>
      <c r="AZ987">
        <v>1200</v>
      </c>
      <c r="BA987">
        <v>1</v>
      </c>
      <c r="BB987" t="str">
        <f t="shared" si="48"/>
        <v xml:space="preserve">N690LS  </v>
      </c>
      <c r="BC987">
        <v>1</v>
      </c>
      <c r="BE987">
        <v>0</v>
      </c>
      <c r="BF987">
        <v>0</v>
      </c>
      <c r="BG987">
        <v>0</v>
      </c>
      <c r="BH987">
        <v>16100</v>
      </c>
      <c r="BI987">
        <v>1</v>
      </c>
      <c r="BJ987">
        <v>1</v>
      </c>
      <c r="BK987">
        <v>1</v>
      </c>
      <c r="BL987">
        <v>0</v>
      </c>
      <c r="BO987">
        <v>0</v>
      </c>
      <c r="BP987">
        <v>0</v>
      </c>
      <c r="BW987" t="str">
        <f>"13:58:42.350"</f>
        <v>13:58:42.350</v>
      </c>
      <c r="CJ987">
        <v>0</v>
      </c>
      <c r="CK987">
        <v>2</v>
      </c>
      <c r="CL987">
        <v>0</v>
      </c>
      <c r="CM987">
        <v>2</v>
      </c>
      <c r="CN987">
        <v>0</v>
      </c>
      <c r="CO987">
        <v>7</v>
      </c>
      <c r="CP987" t="s">
        <v>119</v>
      </c>
      <c r="CQ987">
        <v>209</v>
      </c>
      <c r="CR987">
        <v>3</v>
      </c>
      <c r="CW987">
        <v>7263155</v>
      </c>
      <c r="CY987">
        <v>1</v>
      </c>
      <c r="CZ987">
        <v>0</v>
      </c>
      <c r="DA987">
        <v>0</v>
      </c>
      <c r="DB987">
        <v>0</v>
      </c>
      <c r="DC987">
        <v>0</v>
      </c>
      <c r="DD987">
        <v>1</v>
      </c>
      <c r="DE987">
        <v>0</v>
      </c>
      <c r="DF987">
        <v>0</v>
      </c>
      <c r="DG987">
        <v>0</v>
      </c>
      <c r="DH987">
        <v>0</v>
      </c>
      <c r="DI987">
        <v>0</v>
      </c>
    </row>
    <row r="988" spans="1:113" x14ac:dyDescent="0.3">
      <c r="A988" t="str">
        <f>"09/28/2021 13:58:42.574"</f>
        <v>09/28/2021 13:58:42.574</v>
      </c>
      <c r="C988" t="str">
        <f t="shared" si="47"/>
        <v>FFDFD3C0</v>
      </c>
      <c r="D988" t="s">
        <v>113</v>
      </c>
      <c r="E988">
        <v>7</v>
      </c>
      <c r="H988">
        <v>170</v>
      </c>
      <c r="I988" t="s">
        <v>114</v>
      </c>
      <c r="J988" t="s">
        <v>115</v>
      </c>
      <c r="K988">
        <v>0</v>
      </c>
      <c r="L988">
        <v>3</v>
      </c>
      <c r="M988">
        <v>0</v>
      </c>
      <c r="N988">
        <v>2</v>
      </c>
      <c r="O988">
        <v>1</v>
      </c>
      <c r="P988">
        <v>0</v>
      </c>
      <c r="Q988">
        <v>0</v>
      </c>
      <c r="S988" t="str">
        <f>"13:58:42.344"</f>
        <v>13:58:42.344</v>
      </c>
      <c r="T988" t="str">
        <f>"13:58:41.844"</f>
        <v>13:58:41.844</v>
      </c>
      <c r="U988" t="str">
        <f t="shared" si="49"/>
        <v>A92BC1</v>
      </c>
      <c r="V988">
        <v>0</v>
      </c>
      <c r="W988">
        <v>0</v>
      </c>
      <c r="X988">
        <v>2</v>
      </c>
      <c r="Z988">
        <v>0</v>
      </c>
      <c r="AA988">
        <v>9</v>
      </c>
      <c r="AB988">
        <v>3</v>
      </c>
      <c r="AC988">
        <v>0</v>
      </c>
      <c r="AD988">
        <v>10</v>
      </c>
      <c r="AE988">
        <v>0</v>
      </c>
      <c r="AF988">
        <v>3</v>
      </c>
      <c r="AG988">
        <v>2</v>
      </c>
      <c r="AH988">
        <v>0</v>
      </c>
      <c r="AI988" t="s">
        <v>1088</v>
      </c>
      <c r="AJ988">
        <v>45.874592999999997</v>
      </c>
      <c r="AK988" t="s">
        <v>1089</v>
      </c>
      <c r="AL988">
        <v>-89.126328999999998</v>
      </c>
      <c r="AM988">
        <v>100</v>
      </c>
      <c r="AN988">
        <v>15600</v>
      </c>
      <c r="AO988" t="s">
        <v>118</v>
      </c>
      <c r="AP988">
        <v>158</v>
      </c>
      <c r="AQ988">
        <v>125</v>
      </c>
      <c r="AR988">
        <v>576</v>
      </c>
      <c r="AZ988">
        <v>1200</v>
      </c>
      <c r="BA988">
        <v>1</v>
      </c>
      <c r="BB988" t="str">
        <f t="shared" si="48"/>
        <v xml:space="preserve">N690LS  </v>
      </c>
      <c r="BC988">
        <v>1</v>
      </c>
      <c r="BE988">
        <v>0</v>
      </c>
      <c r="BF988">
        <v>0</v>
      </c>
      <c r="BG988">
        <v>0</v>
      </c>
      <c r="BH988">
        <v>16100</v>
      </c>
      <c r="BI988">
        <v>1</v>
      </c>
      <c r="BJ988">
        <v>1</v>
      </c>
      <c r="BK988">
        <v>1</v>
      </c>
      <c r="BL988">
        <v>0</v>
      </c>
      <c r="BO988">
        <v>0</v>
      </c>
      <c r="BP988">
        <v>0</v>
      </c>
      <c r="BW988" t="str">
        <f>"13:58:42.350"</f>
        <v>13:58:42.350</v>
      </c>
      <c r="CJ988">
        <v>0</v>
      </c>
      <c r="CK988">
        <v>2</v>
      </c>
      <c r="CL988">
        <v>0</v>
      </c>
      <c r="CM988">
        <v>2</v>
      </c>
      <c r="CN988">
        <v>0</v>
      </c>
      <c r="CO988">
        <v>7</v>
      </c>
      <c r="CP988" t="s">
        <v>119</v>
      </c>
      <c r="CQ988">
        <v>209</v>
      </c>
      <c r="CR988">
        <v>3</v>
      </c>
      <c r="CW988">
        <v>7263155</v>
      </c>
      <c r="CY988">
        <v>1</v>
      </c>
      <c r="CZ988">
        <v>0</v>
      </c>
      <c r="DA988">
        <v>1</v>
      </c>
      <c r="DB988">
        <v>0</v>
      </c>
      <c r="DC988">
        <v>0</v>
      </c>
      <c r="DD988">
        <v>1</v>
      </c>
      <c r="DE988">
        <v>0</v>
      </c>
      <c r="DF988">
        <v>0</v>
      </c>
      <c r="DG988">
        <v>0</v>
      </c>
      <c r="DH988">
        <v>0</v>
      </c>
      <c r="DI988">
        <v>0</v>
      </c>
    </row>
    <row r="989" spans="1:113" x14ac:dyDescent="0.3">
      <c r="A989" t="str">
        <f>"09/28/2021 13:58:43.590"</f>
        <v>09/28/2021 13:58:43.590</v>
      </c>
      <c r="C989" t="str">
        <f t="shared" si="47"/>
        <v>FFDFD3C0</v>
      </c>
      <c r="D989" t="s">
        <v>113</v>
      </c>
      <c r="E989">
        <v>7</v>
      </c>
      <c r="H989">
        <v>170</v>
      </c>
      <c r="I989" t="s">
        <v>114</v>
      </c>
      <c r="J989" t="s">
        <v>115</v>
      </c>
      <c r="K989">
        <v>0</v>
      </c>
      <c r="L989">
        <v>3</v>
      </c>
      <c r="M989">
        <v>0</v>
      </c>
      <c r="N989">
        <v>2</v>
      </c>
      <c r="O989">
        <v>1</v>
      </c>
      <c r="P989">
        <v>0</v>
      </c>
      <c r="Q989">
        <v>0</v>
      </c>
      <c r="S989" t="str">
        <f>"13:58:43.398"</f>
        <v>13:58:43.398</v>
      </c>
      <c r="T989" t="str">
        <f>"13:58:42.998"</f>
        <v>13:58:42.998</v>
      </c>
      <c r="U989" t="str">
        <f t="shared" si="49"/>
        <v>A92BC1</v>
      </c>
      <c r="V989">
        <v>0</v>
      </c>
      <c r="W989">
        <v>0</v>
      </c>
      <c r="X989">
        <v>2</v>
      </c>
      <c r="Z989">
        <v>0</v>
      </c>
      <c r="AA989">
        <v>9</v>
      </c>
      <c r="AB989">
        <v>3</v>
      </c>
      <c r="AC989">
        <v>0</v>
      </c>
      <c r="AD989">
        <v>10</v>
      </c>
      <c r="AE989">
        <v>0</v>
      </c>
      <c r="AF989">
        <v>3</v>
      </c>
      <c r="AG989">
        <v>2</v>
      </c>
      <c r="AH989">
        <v>0</v>
      </c>
      <c r="AI989" t="s">
        <v>1090</v>
      </c>
      <c r="AJ989">
        <v>45.875194</v>
      </c>
      <c r="AK989" t="s">
        <v>1091</v>
      </c>
      <c r="AL989">
        <v>-89.125257000000005</v>
      </c>
      <c r="AM989">
        <v>100</v>
      </c>
      <c r="AN989">
        <v>15600</v>
      </c>
      <c r="AO989" t="s">
        <v>118</v>
      </c>
      <c r="AP989">
        <v>158</v>
      </c>
      <c r="AQ989">
        <v>126</v>
      </c>
      <c r="AR989">
        <v>512</v>
      </c>
      <c r="AZ989">
        <v>1200</v>
      </c>
      <c r="BA989">
        <v>1</v>
      </c>
      <c r="BB989" t="str">
        <f t="shared" si="48"/>
        <v xml:space="preserve">N690LS  </v>
      </c>
      <c r="BC989">
        <v>1</v>
      </c>
      <c r="BE989">
        <v>0</v>
      </c>
      <c r="BF989">
        <v>0</v>
      </c>
      <c r="BG989">
        <v>0</v>
      </c>
      <c r="BH989">
        <v>16100</v>
      </c>
      <c r="BI989">
        <v>1</v>
      </c>
      <c r="BJ989">
        <v>1</v>
      </c>
      <c r="BK989">
        <v>1</v>
      </c>
      <c r="BL989">
        <v>0</v>
      </c>
      <c r="BO989">
        <v>0</v>
      </c>
      <c r="BP989">
        <v>0</v>
      </c>
      <c r="BW989" t="str">
        <f>"13:58:43.404"</f>
        <v>13:58:43.404</v>
      </c>
      <c r="CJ989">
        <v>0</v>
      </c>
      <c r="CK989">
        <v>2</v>
      </c>
      <c r="CL989">
        <v>0</v>
      </c>
      <c r="CM989">
        <v>2</v>
      </c>
      <c r="CN989">
        <v>0</v>
      </c>
      <c r="CO989">
        <v>6</v>
      </c>
      <c r="CP989" t="s">
        <v>119</v>
      </c>
      <c r="CQ989">
        <v>209</v>
      </c>
      <c r="CR989">
        <v>2</v>
      </c>
      <c r="CW989">
        <v>11858680</v>
      </c>
      <c r="CY989">
        <v>1</v>
      </c>
      <c r="CZ989">
        <v>0</v>
      </c>
      <c r="DA989">
        <v>0</v>
      </c>
      <c r="DB989">
        <v>0</v>
      </c>
      <c r="DC989">
        <v>0</v>
      </c>
      <c r="DD989">
        <v>1</v>
      </c>
      <c r="DE989">
        <v>0</v>
      </c>
      <c r="DF989">
        <v>0</v>
      </c>
      <c r="DG989">
        <v>0</v>
      </c>
      <c r="DH989">
        <v>0</v>
      </c>
      <c r="DI989">
        <v>0</v>
      </c>
    </row>
    <row r="990" spans="1:113" x14ac:dyDescent="0.3">
      <c r="A990" t="str">
        <f>"09/28/2021 13:58:43.637"</f>
        <v>09/28/2021 13:58:43.637</v>
      </c>
      <c r="C990" t="str">
        <f t="shared" si="47"/>
        <v>FFDFD3C0</v>
      </c>
      <c r="D990" t="s">
        <v>120</v>
      </c>
      <c r="E990">
        <v>12</v>
      </c>
      <c r="F990">
        <v>1012</v>
      </c>
      <c r="G990" t="s">
        <v>114</v>
      </c>
      <c r="J990" t="s">
        <v>121</v>
      </c>
      <c r="K990">
        <v>0</v>
      </c>
      <c r="L990">
        <v>3</v>
      </c>
      <c r="M990">
        <v>0</v>
      </c>
      <c r="N990">
        <v>2</v>
      </c>
      <c r="O990">
        <v>1</v>
      </c>
      <c r="P990">
        <v>0</v>
      </c>
      <c r="Q990">
        <v>0</v>
      </c>
      <c r="S990" t="str">
        <f>"13:58:43.398"</f>
        <v>13:58:43.398</v>
      </c>
      <c r="T990" t="str">
        <f>"13:58:42.998"</f>
        <v>13:58:42.998</v>
      </c>
      <c r="U990" t="str">
        <f t="shared" si="49"/>
        <v>A92BC1</v>
      </c>
      <c r="V990">
        <v>0</v>
      </c>
      <c r="W990">
        <v>0</v>
      </c>
      <c r="X990">
        <v>2</v>
      </c>
      <c r="Z990">
        <v>0</v>
      </c>
      <c r="AA990">
        <v>9</v>
      </c>
      <c r="AB990">
        <v>3</v>
      </c>
      <c r="AC990">
        <v>0</v>
      </c>
      <c r="AD990">
        <v>10</v>
      </c>
      <c r="AE990">
        <v>0</v>
      </c>
      <c r="AF990">
        <v>3</v>
      </c>
      <c r="AG990">
        <v>2</v>
      </c>
      <c r="AH990">
        <v>0</v>
      </c>
      <c r="AI990" t="s">
        <v>1090</v>
      </c>
      <c r="AJ990">
        <v>45.875194</v>
      </c>
      <c r="AK990" t="s">
        <v>1091</v>
      </c>
      <c r="AL990">
        <v>-89.125257000000005</v>
      </c>
      <c r="AM990">
        <v>100</v>
      </c>
      <c r="AN990">
        <v>15600</v>
      </c>
      <c r="AO990" t="s">
        <v>118</v>
      </c>
      <c r="AP990">
        <v>158</v>
      </c>
      <c r="AQ990">
        <v>126</v>
      </c>
      <c r="AR990">
        <v>512</v>
      </c>
      <c r="AZ990">
        <v>1200</v>
      </c>
      <c r="BA990">
        <v>1</v>
      </c>
      <c r="BB990" t="str">
        <f t="shared" si="48"/>
        <v xml:space="preserve">N690LS  </v>
      </c>
      <c r="BC990">
        <v>1</v>
      </c>
      <c r="BE990">
        <v>0</v>
      </c>
      <c r="BF990">
        <v>0</v>
      </c>
      <c r="BG990">
        <v>0</v>
      </c>
      <c r="BH990">
        <v>16100</v>
      </c>
      <c r="BI990">
        <v>1</v>
      </c>
      <c r="BJ990">
        <v>1</v>
      </c>
      <c r="BK990">
        <v>1</v>
      </c>
      <c r="BL990">
        <v>0</v>
      </c>
      <c r="BO990">
        <v>0</v>
      </c>
      <c r="BP990">
        <v>0</v>
      </c>
      <c r="BW990" t="str">
        <f>"13:58:43.404"</f>
        <v>13:58:43.404</v>
      </c>
      <c r="CJ990">
        <v>0</v>
      </c>
      <c r="CK990">
        <v>2</v>
      </c>
      <c r="CL990">
        <v>0</v>
      </c>
      <c r="CM990">
        <v>2</v>
      </c>
      <c r="CN990">
        <v>0</v>
      </c>
      <c r="CO990">
        <v>6</v>
      </c>
      <c r="CP990" t="s">
        <v>119</v>
      </c>
      <c r="CQ990">
        <v>209</v>
      </c>
      <c r="CR990">
        <v>2</v>
      </c>
      <c r="CW990">
        <v>11858680</v>
      </c>
      <c r="CY990">
        <v>1</v>
      </c>
      <c r="CZ990">
        <v>0</v>
      </c>
      <c r="DA990">
        <v>1</v>
      </c>
      <c r="DB990">
        <v>0</v>
      </c>
      <c r="DC990">
        <v>0</v>
      </c>
      <c r="DD990">
        <v>1</v>
      </c>
      <c r="DE990">
        <v>0</v>
      </c>
      <c r="DF990">
        <v>0</v>
      </c>
      <c r="DG990">
        <v>0</v>
      </c>
      <c r="DH990">
        <v>0</v>
      </c>
      <c r="DI990">
        <v>0</v>
      </c>
    </row>
    <row r="991" spans="1:113" x14ac:dyDescent="0.3">
      <c r="A991" t="str">
        <f>"09/28/2021 13:58:44.544"</f>
        <v>09/28/2021 13:58:44.544</v>
      </c>
      <c r="C991" t="str">
        <f t="shared" si="47"/>
        <v>FFDFD3C0</v>
      </c>
      <c r="D991" t="s">
        <v>113</v>
      </c>
      <c r="E991">
        <v>7</v>
      </c>
      <c r="H991">
        <v>170</v>
      </c>
      <c r="I991" t="s">
        <v>114</v>
      </c>
      <c r="J991" t="s">
        <v>115</v>
      </c>
      <c r="K991">
        <v>0</v>
      </c>
      <c r="L991">
        <v>3</v>
      </c>
      <c r="M991">
        <v>0</v>
      </c>
      <c r="N991">
        <v>2</v>
      </c>
      <c r="O991">
        <v>1</v>
      </c>
      <c r="P991">
        <v>0</v>
      </c>
      <c r="Q991">
        <v>0</v>
      </c>
      <c r="S991" t="str">
        <f>"13:58:44.359"</f>
        <v>13:58:44.359</v>
      </c>
      <c r="T991" t="str">
        <f>"13:58:43.959"</f>
        <v>13:58:43.959</v>
      </c>
      <c r="U991" t="str">
        <f t="shared" si="49"/>
        <v>A92BC1</v>
      </c>
      <c r="V991">
        <v>0</v>
      </c>
      <c r="W991">
        <v>0</v>
      </c>
      <c r="X991">
        <v>2</v>
      </c>
      <c r="Z991">
        <v>0</v>
      </c>
      <c r="AA991">
        <v>9</v>
      </c>
      <c r="AB991">
        <v>3</v>
      </c>
      <c r="AC991">
        <v>0</v>
      </c>
      <c r="AD991">
        <v>10</v>
      </c>
      <c r="AE991">
        <v>0</v>
      </c>
      <c r="AF991">
        <v>3</v>
      </c>
      <c r="AG991">
        <v>2</v>
      </c>
      <c r="AH991">
        <v>0</v>
      </c>
      <c r="AI991" t="s">
        <v>1092</v>
      </c>
      <c r="AJ991">
        <v>45.875794999999997</v>
      </c>
      <c r="AK991" t="s">
        <v>1093</v>
      </c>
      <c r="AL991">
        <v>-89.124184</v>
      </c>
      <c r="AM991">
        <v>100</v>
      </c>
      <c r="AN991">
        <v>15600</v>
      </c>
      <c r="AO991" t="s">
        <v>118</v>
      </c>
      <c r="AP991">
        <v>159</v>
      </c>
      <c r="AQ991">
        <v>126</v>
      </c>
      <c r="AR991">
        <v>256</v>
      </c>
      <c r="AZ991">
        <v>1200</v>
      </c>
      <c r="BA991">
        <v>1</v>
      </c>
      <c r="BB991" t="str">
        <f t="shared" si="48"/>
        <v xml:space="preserve">N690LS  </v>
      </c>
      <c r="BC991">
        <v>1</v>
      </c>
      <c r="BE991">
        <v>0</v>
      </c>
      <c r="BF991">
        <v>0</v>
      </c>
      <c r="BG991">
        <v>0</v>
      </c>
      <c r="BH991">
        <v>16100</v>
      </c>
      <c r="BI991">
        <v>1</v>
      </c>
      <c r="BJ991">
        <v>1</v>
      </c>
      <c r="BK991">
        <v>1</v>
      </c>
      <c r="BL991">
        <v>0</v>
      </c>
      <c r="BO991">
        <v>0</v>
      </c>
      <c r="BP991">
        <v>0</v>
      </c>
      <c r="BW991" t="str">
        <f>"13:58:44.364"</f>
        <v>13:58:44.364</v>
      </c>
      <c r="CJ991">
        <v>0</v>
      </c>
      <c r="CK991">
        <v>2</v>
      </c>
      <c r="CL991">
        <v>0</v>
      </c>
      <c r="CM991">
        <v>2</v>
      </c>
      <c r="CN991">
        <v>0</v>
      </c>
      <c r="CO991">
        <v>7</v>
      </c>
      <c r="CP991" t="s">
        <v>119</v>
      </c>
      <c r="CQ991">
        <v>197</v>
      </c>
      <c r="CR991">
        <v>1</v>
      </c>
      <c r="CW991">
        <v>7513751</v>
      </c>
      <c r="CY991">
        <v>1</v>
      </c>
      <c r="CZ991">
        <v>0</v>
      </c>
      <c r="DA991">
        <v>0</v>
      </c>
      <c r="DB991">
        <v>0</v>
      </c>
      <c r="DC991">
        <v>0</v>
      </c>
      <c r="DD991">
        <v>1</v>
      </c>
      <c r="DE991">
        <v>0</v>
      </c>
      <c r="DF991">
        <v>0</v>
      </c>
      <c r="DG991">
        <v>0</v>
      </c>
      <c r="DH991">
        <v>0</v>
      </c>
      <c r="DI991">
        <v>0</v>
      </c>
    </row>
    <row r="992" spans="1:113" x14ac:dyDescent="0.3">
      <c r="A992" t="str">
        <f>"09/28/2021 13:58:44.575"</f>
        <v>09/28/2021 13:58:44.575</v>
      </c>
      <c r="C992" t="str">
        <f t="shared" si="47"/>
        <v>FFDFD3C0</v>
      </c>
      <c r="D992" t="s">
        <v>120</v>
      </c>
      <c r="E992">
        <v>12</v>
      </c>
      <c r="F992">
        <v>1012</v>
      </c>
      <c r="G992" t="s">
        <v>114</v>
      </c>
      <c r="J992" t="s">
        <v>121</v>
      </c>
      <c r="K992">
        <v>0</v>
      </c>
      <c r="L992">
        <v>3</v>
      </c>
      <c r="M992">
        <v>0</v>
      </c>
      <c r="N992">
        <v>2</v>
      </c>
      <c r="O992">
        <v>1</v>
      </c>
      <c r="P992">
        <v>0</v>
      </c>
      <c r="Q992">
        <v>0</v>
      </c>
      <c r="S992" t="str">
        <f>"13:58:44.359"</f>
        <v>13:58:44.359</v>
      </c>
      <c r="T992" t="str">
        <f>"13:58:43.959"</f>
        <v>13:58:43.959</v>
      </c>
      <c r="U992" t="str">
        <f t="shared" si="49"/>
        <v>A92BC1</v>
      </c>
      <c r="V992">
        <v>0</v>
      </c>
      <c r="W992">
        <v>0</v>
      </c>
      <c r="X992">
        <v>2</v>
      </c>
      <c r="Z992">
        <v>0</v>
      </c>
      <c r="AA992">
        <v>9</v>
      </c>
      <c r="AB992">
        <v>3</v>
      </c>
      <c r="AC992">
        <v>0</v>
      </c>
      <c r="AD992">
        <v>10</v>
      </c>
      <c r="AE992">
        <v>0</v>
      </c>
      <c r="AF992">
        <v>3</v>
      </c>
      <c r="AG992">
        <v>2</v>
      </c>
      <c r="AH992">
        <v>0</v>
      </c>
      <c r="AI992" t="s">
        <v>1092</v>
      </c>
      <c r="AJ992">
        <v>45.875794999999997</v>
      </c>
      <c r="AK992" t="s">
        <v>1093</v>
      </c>
      <c r="AL992">
        <v>-89.124184</v>
      </c>
      <c r="AM992">
        <v>100</v>
      </c>
      <c r="AN992">
        <v>15600</v>
      </c>
      <c r="AO992" t="s">
        <v>118</v>
      </c>
      <c r="AP992">
        <v>159</v>
      </c>
      <c r="AQ992">
        <v>126</v>
      </c>
      <c r="AR992">
        <v>256</v>
      </c>
      <c r="AZ992">
        <v>1200</v>
      </c>
      <c r="BA992">
        <v>1</v>
      </c>
      <c r="BB992" t="str">
        <f t="shared" si="48"/>
        <v xml:space="preserve">N690LS  </v>
      </c>
      <c r="BC992">
        <v>1</v>
      </c>
      <c r="BE992">
        <v>0</v>
      </c>
      <c r="BF992">
        <v>0</v>
      </c>
      <c r="BG992">
        <v>0</v>
      </c>
      <c r="BH992">
        <v>16100</v>
      </c>
      <c r="BI992">
        <v>1</v>
      </c>
      <c r="BJ992">
        <v>1</v>
      </c>
      <c r="BK992">
        <v>1</v>
      </c>
      <c r="BL992">
        <v>0</v>
      </c>
      <c r="BO992">
        <v>0</v>
      </c>
      <c r="BP992">
        <v>0</v>
      </c>
      <c r="BW992" t="str">
        <f>"13:58:44.364"</f>
        <v>13:58:44.364</v>
      </c>
      <c r="CJ992">
        <v>0</v>
      </c>
      <c r="CK992">
        <v>2</v>
      </c>
      <c r="CL992">
        <v>0</v>
      </c>
      <c r="CM992">
        <v>2</v>
      </c>
      <c r="CN992">
        <v>0</v>
      </c>
      <c r="CO992">
        <v>7</v>
      </c>
      <c r="CP992" t="s">
        <v>119</v>
      </c>
      <c r="CQ992">
        <v>197</v>
      </c>
      <c r="CR992">
        <v>1</v>
      </c>
      <c r="CW992">
        <v>7513751</v>
      </c>
      <c r="CY992">
        <v>1</v>
      </c>
      <c r="CZ992">
        <v>0</v>
      </c>
      <c r="DA992">
        <v>1</v>
      </c>
      <c r="DB992">
        <v>0</v>
      </c>
      <c r="DC992">
        <v>0</v>
      </c>
      <c r="DD992">
        <v>1</v>
      </c>
      <c r="DE992">
        <v>0</v>
      </c>
      <c r="DF992">
        <v>0</v>
      </c>
      <c r="DG992">
        <v>0</v>
      </c>
      <c r="DH992">
        <v>0</v>
      </c>
      <c r="DI992">
        <v>0</v>
      </c>
    </row>
    <row r="993" spans="1:113" x14ac:dyDescent="0.3">
      <c r="A993" t="str">
        <f>"09/28/2021 13:58:45.575"</f>
        <v>09/28/2021 13:58:45.575</v>
      </c>
      <c r="C993" t="str">
        <f t="shared" si="47"/>
        <v>FFDFD3C0</v>
      </c>
      <c r="D993" t="s">
        <v>120</v>
      </c>
      <c r="E993">
        <v>12</v>
      </c>
      <c r="F993">
        <v>1012</v>
      </c>
      <c r="G993" t="s">
        <v>114</v>
      </c>
      <c r="J993" t="s">
        <v>121</v>
      </c>
      <c r="K993">
        <v>0</v>
      </c>
      <c r="L993">
        <v>3</v>
      </c>
      <c r="M993">
        <v>0</v>
      </c>
      <c r="N993">
        <v>2</v>
      </c>
      <c r="O993">
        <v>1</v>
      </c>
      <c r="P993">
        <v>0</v>
      </c>
      <c r="Q993">
        <v>0</v>
      </c>
      <c r="S993" t="str">
        <f>"13:58:45.398"</f>
        <v>13:58:45.398</v>
      </c>
      <c r="T993" t="str">
        <f>"13:58:44.898"</f>
        <v>13:58:44.898</v>
      </c>
      <c r="U993" t="str">
        <f t="shared" si="49"/>
        <v>A92BC1</v>
      </c>
      <c r="V993">
        <v>0</v>
      </c>
      <c r="W993">
        <v>0</v>
      </c>
      <c r="X993">
        <v>2</v>
      </c>
      <c r="Z993">
        <v>0</v>
      </c>
      <c r="AA993">
        <v>9</v>
      </c>
      <c r="AB993">
        <v>3</v>
      </c>
      <c r="AC993">
        <v>0</v>
      </c>
      <c r="AD993">
        <v>10</v>
      </c>
      <c r="AE993">
        <v>0</v>
      </c>
      <c r="AF993">
        <v>3</v>
      </c>
      <c r="AG993">
        <v>2</v>
      </c>
      <c r="AH993">
        <v>0</v>
      </c>
      <c r="AI993" t="s">
        <v>1094</v>
      </c>
      <c r="AJ993">
        <v>45.876396</v>
      </c>
      <c r="AK993" t="s">
        <v>1095</v>
      </c>
      <c r="AL993">
        <v>-89.123110999999994</v>
      </c>
      <c r="AM993">
        <v>100</v>
      </c>
      <c r="AN993">
        <v>15600</v>
      </c>
      <c r="AO993" t="s">
        <v>118</v>
      </c>
      <c r="AP993">
        <v>160</v>
      </c>
      <c r="AQ993">
        <v>127</v>
      </c>
      <c r="AR993">
        <v>128</v>
      </c>
      <c r="AZ993">
        <v>1200</v>
      </c>
      <c r="BA993">
        <v>1</v>
      </c>
      <c r="BB993" t="str">
        <f t="shared" si="48"/>
        <v xml:space="preserve">N690LS  </v>
      </c>
      <c r="BC993">
        <v>1</v>
      </c>
      <c r="BE993">
        <v>0</v>
      </c>
      <c r="BF993">
        <v>0</v>
      </c>
      <c r="BG993">
        <v>0</v>
      </c>
      <c r="BH993">
        <v>16100</v>
      </c>
      <c r="BI993">
        <v>1</v>
      </c>
      <c r="BJ993">
        <v>1</v>
      </c>
      <c r="BK993">
        <v>1</v>
      </c>
      <c r="BL993">
        <v>0</v>
      </c>
      <c r="BO993">
        <v>0</v>
      </c>
      <c r="BP993">
        <v>0</v>
      </c>
      <c r="BW993" t="str">
        <f>"13:58:45.406"</f>
        <v>13:58:45.406</v>
      </c>
      <c r="CJ993">
        <v>0</v>
      </c>
      <c r="CK993">
        <v>2</v>
      </c>
      <c r="CL993">
        <v>0</v>
      </c>
      <c r="CM993">
        <v>2</v>
      </c>
      <c r="CN993">
        <v>0</v>
      </c>
      <c r="CO993">
        <v>7</v>
      </c>
      <c r="CP993" t="s">
        <v>119</v>
      </c>
      <c r="CQ993">
        <v>197</v>
      </c>
      <c r="CR993">
        <v>1</v>
      </c>
      <c r="CW993">
        <v>7514957</v>
      </c>
      <c r="CY993">
        <v>1</v>
      </c>
      <c r="CZ993">
        <v>0</v>
      </c>
      <c r="DA993">
        <v>0</v>
      </c>
      <c r="DB993">
        <v>0</v>
      </c>
      <c r="DC993">
        <v>0</v>
      </c>
      <c r="DD993">
        <v>1</v>
      </c>
      <c r="DE993">
        <v>0</v>
      </c>
      <c r="DF993">
        <v>0</v>
      </c>
      <c r="DG993">
        <v>0</v>
      </c>
      <c r="DH993">
        <v>0</v>
      </c>
      <c r="DI993">
        <v>0</v>
      </c>
    </row>
    <row r="994" spans="1:113" x14ac:dyDescent="0.3">
      <c r="A994" t="str">
        <f>"09/28/2021 13:58:45.607"</f>
        <v>09/28/2021 13:58:45.607</v>
      </c>
      <c r="C994" t="str">
        <f t="shared" si="47"/>
        <v>FFDFD3C0</v>
      </c>
      <c r="D994" t="s">
        <v>113</v>
      </c>
      <c r="E994">
        <v>7</v>
      </c>
      <c r="H994">
        <v>170</v>
      </c>
      <c r="I994" t="s">
        <v>114</v>
      </c>
      <c r="J994" t="s">
        <v>115</v>
      </c>
      <c r="K994">
        <v>0</v>
      </c>
      <c r="L994">
        <v>3</v>
      </c>
      <c r="M994">
        <v>0</v>
      </c>
      <c r="N994">
        <v>2</v>
      </c>
      <c r="O994">
        <v>1</v>
      </c>
      <c r="P994">
        <v>0</v>
      </c>
      <c r="Q994">
        <v>0</v>
      </c>
      <c r="S994" t="str">
        <f>"13:58:45.398"</f>
        <v>13:58:45.398</v>
      </c>
      <c r="T994" t="str">
        <f>"13:58:44.898"</f>
        <v>13:58:44.898</v>
      </c>
      <c r="U994" t="str">
        <f t="shared" si="49"/>
        <v>A92BC1</v>
      </c>
      <c r="V994">
        <v>0</v>
      </c>
      <c r="W994">
        <v>0</v>
      </c>
      <c r="X994">
        <v>2</v>
      </c>
      <c r="Z994">
        <v>0</v>
      </c>
      <c r="AA994">
        <v>9</v>
      </c>
      <c r="AB994">
        <v>3</v>
      </c>
      <c r="AC994">
        <v>0</v>
      </c>
      <c r="AD994">
        <v>10</v>
      </c>
      <c r="AE994">
        <v>0</v>
      </c>
      <c r="AF994">
        <v>3</v>
      </c>
      <c r="AG994">
        <v>2</v>
      </c>
      <c r="AH994">
        <v>0</v>
      </c>
      <c r="AI994" t="s">
        <v>1094</v>
      </c>
      <c r="AJ994">
        <v>45.876396</v>
      </c>
      <c r="AK994" t="s">
        <v>1095</v>
      </c>
      <c r="AL994">
        <v>-89.123110999999994</v>
      </c>
      <c r="AM994">
        <v>100</v>
      </c>
      <c r="AN994">
        <v>15600</v>
      </c>
      <c r="AO994" t="s">
        <v>118</v>
      </c>
      <c r="AP994">
        <v>160</v>
      </c>
      <c r="AQ994">
        <v>127</v>
      </c>
      <c r="AR994">
        <v>128</v>
      </c>
      <c r="AZ994">
        <v>1200</v>
      </c>
      <c r="BA994">
        <v>1</v>
      </c>
      <c r="BB994" t="str">
        <f t="shared" si="48"/>
        <v xml:space="preserve">N690LS  </v>
      </c>
      <c r="BC994">
        <v>1</v>
      </c>
      <c r="BE994">
        <v>0</v>
      </c>
      <c r="BF994">
        <v>0</v>
      </c>
      <c r="BG994">
        <v>0</v>
      </c>
      <c r="BH994">
        <v>16100</v>
      </c>
      <c r="BI994">
        <v>1</v>
      </c>
      <c r="BJ994">
        <v>1</v>
      </c>
      <c r="BK994">
        <v>1</v>
      </c>
      <c r="BL994">
        <v>0</v>
      </c>
      <c r="BO994">
        <v>0</v>
      </c>
      <c r="BP994">
        <v>0</v>
      </c>
      <c r="BW994" t="str">
        <f>"13:58:45.406"</f>
        <v>13:58:45.406</v>
      </c>
      <c r="CJ994">
        <v>0</v>
      </c>
      <c r="CK994">
        <v>2</v>
      </c>
      <c r="CL994">
        <v>0</v>
      </c>
      <c r="CM994">
        <v>2</v>
      </c>
      <c r="CN994">
        <v>0</v>
      </c>
      <c r="CO994">
        <v>7</v>
      </c>
      <c r="CP994" t="s">
        <v>119</v>
      </c>
      <c r="CQ994">
        <v>197</v>
      </c>
      <c r="CR994">
        <v>1</v>
      </c>
      <c r="CW994">
        <v>7514957</v>
      </c>
      <c r="CY994">
        <v>1</v>
      </c>
      <c r="CZ994">
        <v>0</v>
      </c>
      <c r="DA994">
        <v>1</v>
      </c>
      <c r="DB994">
        <v>0</v>
      </c>
      <c r="DC994">
        <v>0</v>
      </c>
      <c r="DD994">
        <v>1</v>
      </c>
      <c r="DE994">
        <v>0</v>
      </c>
      <c r="DF994">
        <v>0</v>
      </c>
      <c r="DG994">
        <v>0</v>
      </c>
      <c r="DH994">
        <v>0</v>
      </c>
      <c r="DI994">
        <v>0</v>
      </c>
    </row>
    <row r="995" spans="1:113" x14ac:dyDescent="0.3">
      <c r="A995" t="str">
        <f>"09/28/2021 13:58:46.527"</f>
        <v>09/28/2021 13:58:46.527</v>
      </c>
      <c r="C995" t="str">
        <f t="shared" si="47"/>
        <v>FFDFD3C0</v>
      </c>
      <c r="D995" t="s">
        <v>113</v>
      </c>
      <c r="E995">
        <v>7</v>
      </c>
      <c r="H995">
        <v>170</v>
      </c>
      <c r="I995" t="s">
        <v>114</v>
      </c>
      <c r="J995" t="s">
        <v>115</v>
      </c>
      <c r="K995">
        <v>0</v>
      </c>
      <c r="L995">
        <v>3</v>
      </c>
      <c r="M995">
        <v>0</v>
      </c>
      <c r="N995">
        <v>2</v>
      </c>
      <c r="O995">
        <v>1</v>
      </c>
      <c r="P995">
        <v>0</v>
      </c>
      <c r="Q995">
        <v>0</v>
      </c>
      <c r="S995" t="str">
        <f>"13:58:46.320"</f>
        <v>13:58:46.320</v>
      </c>
      <c r="T995" t="str">
        <f>"13:58:45.920"</f>
        <v>13:58:45.920</v>
      </c>
      <c r="U995" t="str">
        <f t="shared" si="49"/>
        <v>A92BC1</v>
      </c>
      <c r="V995">
        <v>0</v>
      </c>
      <c r="W995">
        <v>0</v>
      </c>
      <c r="X995">
        <v>2</v>
      </c>
      <c r="Z995">
        <v>0</v>
      </c>
      <c r="AA995">
        <v>9</v>
      </c>
      <c r="AB995">
        <v>3</v>
      </c>
      <c r="AC995">
        <v>0</v>
      </c>
      <c r="AD995">
        <v>10</v>
      </c>
      <c r="AE995">
        <v>0</v>
      </c>
      <c r="AF995">
        <v>3</v>
      </c>
      <c r="AG995">
        <v>2</v>
      </c>
      <c r="AH995">
        <v>0</v>
      </c>
      <c r="AI995" t="s">
        <v>1096</v>
      </c>
      <c r="AJ995">
        <v>45.876911</v>
      </c>
      <c r="AK995" t="s">
        <v>1097</v>
      </c>
      <c r="AL995">
        <v>-89.122187999999994</v>
      </c>
      <c r="AM995">
        <v>100</v>
      </c>
      <c r="AN995">
        <v>15600</v>
      </c>
      <c r="AO995" t="s">
        <v>118</v>
      </c>
      <c r="AP995">
        <v>161</v>
      </c>
      <c r="AQ995">
        <v>127</v>
      </c>
      <c r="AR995">
        <v>64</v>
      </c>
      <c r="AZ995">
        <v>1200</v>
      </c>
      <c r="BA995">
        <v>1</v>
      </c>
      <c r="BB995" t="str">
        <f t="shared" si="48"/>
        <v xml:space="preserve">N690LS  </v>
      </c>
      <c r="BC995">
        <v>1</v>
      </c>
      <c r="BE995">
        <v>0</v>
      </c>
      <c r="BF995">
        <v>0</v>
      </c>
      <c r="BG995">
        <v>0</v>
      </c>
      <c r="BH995">
        <v>16100</v>
      </c>
      <c r="BI995">
        <v>1</v>
      </c>
      <c r="BJ995">
        <v>1</v>
      </c>
      <c r="BK995">
        <v>1</v>
      </c>
      <c r="BL995">
        <v>0</v>
      </c>
      <c r="BO995">
        <v>0</v>
      </c>
      <c r="BP995">
        <v>0</v>
      </c>
      <c r="BW995" t="str">
        <f>"13:58:46.322"</f>
        <v>13:58:46.322</v>
      </c>
      <c r="CJ995">
        <v>0</v>
      </c>
      <c r="CK995">
        <v>2</v>
      </c>
      <c r="CL995">
        <v>0</v>
      </c>
      <c r="CM995">
        <v>2</v>
      </c>
      <c r="CN995">
        <v>0</v>
      </c>
      <c r="CO995">
        <v>7</v>
      </c>
      <c r="CP995" t="s">
        <v>119</v>
      </c>
      <c r="CQ995">
        <v>197</v>
      </c>
      <c r="CR995">
        <v>0</v>
      </c>
      <c r="CW995">
        <v>16083370</v>
      </c>
      <c r="CY995">
        <v>1</v>
      </c>
      <c r="CZ995">
        <v>0</v>
      </c>
      <c r="DA995">
        <v>0</v>
      </c>
      <c r="DB995">
        <v>0</v>
      </c>
      <c r="DC995">
        <v>0</v>
      </c>
      <c r="DD995">
        <v>1</v>
      </c>
      <c r="DE995">
        <v>0</v>
      </c>
      <c r="DF995">
        <v>0</v>
      </c>
      <c r="DG995">
        <v>0</v>
      </c>
      <c r="DH995">
        <v>0</v>
      </c>
      <c r="DI995">
        <v>0</v>
      </c>
    </row>
    <row r="996" spans="1:113" x14ac:dyDescent="0.3">
      <c r="A996" t="str">
        <f>"09/28/2021 13:58:46.558"</f>
        <v>09/28/2021 13:58:46.558</v>
      </c>
      <c r="C996" t="str">
        <f t="shared" si="47"/>
        <v>FFDFD3C0</v>
      </c>
      <c r="D996" t="s">
        <v>120</v>
      </c>
      <c r="E996">
        <v>12</v>
      </c>
      <c r="F996">
        <v>1012</v>
      </c>
      <c r="G996" t="s">
        <v>114</v>
      </c>
      <c r="J996" t="s">
        <v>121</v>
      </c>
      <c r="K996">
        <v>0</v>
      </c>
      <c r="L996">
        <v>3</v>
      </c>
      <c r="M996">
        <v>0</v>
      </c>
      <c r="N996">
        <v>2</v>
      </c>
      <c r="O996">
        <v>1</v>
      </c>
      <c r="P996">
        <v>0</v>
      </c>
      <c r="Q996">
        <v>0</v>
      </c>
      <c r="S996" t="str">
        <f>"13:58:46.320"</f>
        <v>13:58:46.320</v>
      </c>
      <c r="T996" t="str">
        <f>"13:58:45.920"</f>
        <v>13:58:45.920</v>
      </c>
      <c r="U996" t="str">
        <f t="shared" si="49"/>
        <v>A92BC1</v>
      </c>
      <c r="V996">
        <v>0</v>
      </c>
      <c r="W996">
        <v>0</v>
      </c>
      <c r="X996">
        <v>2</v>
      </c>
      <c r="Z996">
        <v>0</v>
      </c>
      <c r="AA996">
        <v>9</v>
      </c>
      <c r="AB996">
        <v>3</v>
      </c>
      <c r="AC996">
        <v>0</v>
      </c>
      <c r="AD996">
        <v>10</v>
      </c>
      <c r="AE996">
        <v>0</v>
      </c>
      <c r="AF996">
        <v>3</v>
      </c>
      <c r="AG996">
        <v>2</v>
      </c>
      <c r="AH996">
        <v>0</v>
      </c>
      <c r="AI996" t="s">
        <v>1096</v>
      </c>
      <c r="AJ996">
        <v>45.876911</v>
      </c>
      <c r="AK996" t="s">
        <v>1097</v>
      </c>
      <c r="AL996">
        <v>-89.122187999999994</v>
      </c>
      <c r="AM996">
        <v>100</v>
      </c>
      <c r="AN996">
        <v>15600</v>
      </c>
      <c r="AO996" t="s">
        <v>118</v>
      </c>
      <c r="AP996">
        <v>161</v>
      </c>
      <c r="AQ996">
        <v>127</v>
      </c>
      <c r="AR996">
        <v>64</v>
      </c>
      <c r="AZ996">
        <v>1200</v>
      </c>
      <c r="BA996">
        <v>1</v>
      </c>
      <c r="BB996" t="str">
        <f t="shared" si="48"/>
        <v xml:space="preserve">N690LS  </v>
      </c>
      <c r="BC996">
        <v>1</v>
      </c>
      <c r="BE996">
        <v>0</v>
      </c>
      <c r="BF996">
        <v>0</v>
      </c>
      <c r="BG996">
        <v>0</v>
      </c>
      <c r="BH996">
        <v>16100</v>
      </c>
      <c r="BI996">
        <v>1</v>
      </c>
      <c r="BJ996">
        <v>1</v>
      </c>
      <c r="BK996">
        <v>1</v>
      </c>
      <c r="BL996">
        <v>0</v>
      </c>
      <c r="BO996">
        <v>0</v>
      </c>
      <c r="BP996">
        <v>0</v>
      </c>
      <c r="BW996" t="str">
        <f>"13:58:46.322"</f>
        <v>13:58:46.322</v>
      </c>
      <c r="CJ996">
        <v>0</v>
      </c>
      <c r="CK996">
        <v>2</v>
      </c>
      <c r="CL996">
        <v>0</v>
      </c>
      <c r="CM996">
        <v>2</v>
      </c>
      <c r="CN996">
        <v>0</v>
      </c>
      <c r="CO996">
        <v>7</v>
      </c>
      <c r="CP996" t="s">
        <v>119</v>
      </c>
      <c r="CQ996">
        <v>197</v>
      </c>
      <c r="CR996">
        <v>0</v>
      </c>
      <c r="CW996">
        <v>16083370</v>
      </c>
      <c r="CY996">
        <v>1</v>
      </c>
      <c r="CZ996">
        <v>0</v>
      </c>
      <c r="DA996">
        <v>1</v>
      </c>
      <c r="DB996">
        <v>0</v>
      </c>
      <c r="DC996">
        <v>0</v>
      </c>
      <c r="DD996">
        <v>1</v>
      </c>
      <c r="DE996">
        <v>0</v>
      </c>
      <c r="DF996">
        <v>0</v>
      </c>
      <c r="DG996">
        <v>0</v>
      </c>
      <c r="DH996">
        <v>0</v>
      </c>
      <c r="DI996">
        <v>0</v>
      </c>
    </row>
    <row r="997" spans="1:113" x14ac:dyDescent="0.3">
      <c r="A997" t="str">
        <f>"09/28/2021 13:58:47.494"</f>
        <v>09/28/2021 13:58:47.494</v>
      </c>
      <c r="C997" t="str">
        <f t="shared" si="47"/>
        <v>FFDFD3C0</v>
      </c>
      <c r="D997" t="s">
        <v>113</v>
      </c>
      <c r="E997">
        <v>7</v>
      </c>
      <c r="H997">
        <v>170</v>
      </c>
      <c r="I997" t="s">
        <v>114</v>
      </c>
      <c r="J997" t="s">
        <v>115</v>
      </c>
      <c r="K997">
        <v>0</v>
      </c>
      <c r="L997">
        <v>3</v>
      </c>
      <c r="M997">
        <v>0</v>
      </c>
      <c r="N997">
        <v>2</v>
      </c>
      <c r="O997">
        <v>1</v>
      </c>
      <c r="P997">
        <v>0</v>
      </c>
      <c r="Q997">
        <v>0</v>
      </c>
      <c r="S997" t="str">
        <f>"13:58:47.281"</f>
        <v>13:58:47.281</v>
      </c>
      <c r="T997" t="str">
        <f>"13:58:46.781"</f>
        <v>13:58:46.781</v>
      </c>
      <c r="U997" t="str">
        <f t="shared" si="49"/>
        <v>A92BC1</v>
      </c>
      <c r="V997">
        <v>0</v>
      </c>
      <c r="W997">
        <v>0</v>
      </c>
      <c r="X997">
        <v>2</v>
      </c>
      <c r="Z997">
        <v>0</v>
      </c>
      <c r="AA997">
        <v>9</v>
      </c>
      <c r="AB997">
        <v>3</v>
      </c>
      <c r="AC997">
        <v>0</v>
      </c>
      <c r="AD997">
        <v>10</v>
      </c>
      <c r="AE997">
        <v>0</v>
      </c>
      <c r="AF997">
        <v>3</v>
      </c>
      <c r="AG997">
        <v>2</v>
      </c>
      <c r="AH997">
        <v>0</v>
      </c>
      <c r="AI997" t="s">
        <v>1098</v>
      </c>
      <c r="AJ997">
        <v>45.877512000000003</v>
      </c>
      <c r="AK997" t="s">
        <v>1099</v>
      </c>
      <c r="AL997">
        <v>-89.121093999999999</v>
      </c>
      <c r="AM997">
        <v>100</v>
      </c>
      <c r="AN997">
        <v>15600</v>
      </c>
      <c r="AO997" t="s">
        <v>118</v>
      </c>
      <c r="AP997">
        <v>161</v>
      </c>
      <c r="AQ997">
        <v>128</v>
      </c>
      <c r="AR997">
        <v>0</v>
      </c>
      <c r="AZ997">
        <v>1200</v>
      </c>
      <c r="BA997">
        <v>1</v>
      </c>
      <c r="BB997" t="str">
        <f t="shared" si="48"/>
        <v xml:space="preserve">N690LS  </v>
      </c>
      <c r="BC997">
        <v>1</v>
      </c>
      <c r="BE997">
        <v>0</v>
      </c>
      <c r="BF997">
        <v>0</v>
      </c>
      <c r="BG997">
        <v>0</v>
      </c>
      <c r="BH997">
        <v>16100</v>
      </c>
      <c r="BI997">
        <v>1</v>
      </c>
      <c r="BJ997">
        <v>1</v>
      </c>
      <c r="BK997">
        <v>1</v>
      </c>
      <c r="BL997">
        <v>0</v>
      </c>
      <c r="BO997">
        <v>0</v>
      </c>
      <c r="BP997">
        <v>0</v>
      </c>
      <c r="BW997" t="str">
        <f>"13:58:47.287"</f>
        <v>13:58:47.287</v>
      </c>
      <c r="CJ997">
        <v>0</v>
      </c>
      <c r="CK997">
        <v>2</v>
      </c>
      <c r="CL997">
        <v>0</v>
      </c>
      <c r="CM997">
        <v>2</v>
      </c>
      <c r="CN997">
        <v>0</v>
      </c>
      <c r="CO997">
        <v>7</v>
      </c>
      <c r="CP997" t="s">
        <v>119</v>
      </c>
      <c r="CQ997">
        <v>197</v>
      </c>
      <c r="CR997">
        <v>0</v>
      </c>
      <c r="CW997">
        <v>16083679</v>
      </c>
      <c r="CY997">
        <v>1</v>
      </c>
      <c r="CZ997">
        <v>0</v>
      </c>
      <c r="DA997">
        <v>0</v>
      </c>
      <c r="DB997">
        <v>0</v>
      </c>
      <c r="DC997">
        <v>0</v>
      </c>
      <c r="DD997">
        <v>1</v>
      </c>
      <c r="DE997">
        <v>0</v>
      </c>
      <c r="DF997">
        <v>0</v>
      </c>
      <c r="DG997">
        <v>0</v>
      </c>
      <c r="DH997">
        <v>0</v>
      </c>
      <c r="DI997">
        <v>0</v>
      </c>
    </row>
    <row r="998" spans="1:113" x14ac:dyDescent="0.3">
      <c r="A998" t="str">
        <f>"09/28/2021 13:58:47.494"</f>
        <v>09/28/2021 13:58:47.494</v>
      </c>
      <c r="C998" t="str">
        <f t="shared" si="47"/>
        <v>FFDFD3C0</v>
      </c>
      <c r="D998" t="s">
        <v>120</v>
      </c>
      <c r="E998">
        <v>12</v>
      </c>
      <c r="F998">
        <v>1012</v>
      </c>
      <c r="G998" t="s">
        <v>114</v>
      </c>
      <c r="J998" t="s">
        <v>121</v>
      </c>
      <c r="K998">
        <v>0</v>
      </c>
      <c r="L998">
        <v>3</v>
      </c>
      <c r="M998">
        <v>0</v>
      </c>
      <c r="N998">
        <v>2</v>
      </c>
      <c r="O998">
        <v>1</v>
      </c>
      <c r="P998">
        <v>0</v>
      </c>
      <c r="Q998">
        <v>0</v>
      </c>
      <c r="S998" t="str">
        <f>"13:58:47.281"</f>
        <v>13:58:47.281</v>
      </c>
      <c r="T998" t="str">
        <f>"13:58:46.781"</f>
        <v>13:58:46.781</v>
      </c>
      <c r="U998" t="str">
        <f t="shared" si="49"/>
        <v>A92BC1</v>
      </c>
      <c r="V998">
        <v>0</v>
      </c>
      <c r="W998">
        <v>0</v>
      </c>
      <c r="X998">
        <v>2</v>
      </c>
      <c r="Z998">
        <v>0</v>
      </c>
      <c r="AA998">
        <v>9</v>
      </c>
      <c r="AB998">
        <v>3</v>
      </c>
      <c r="AC998">
        <v>0</v>
      </c>
      <c r="AD998">
        <v>10</v>
      </c>
      <c r="AE998">
        <v>0</v>
      </c>
      <c r="AF998">
        <v>3</v>
      </c>
      <c r="AG998">
        <v>2</v>
      </c>
      <c r="AH998">
        <v>0</v>
      </c>
      <c r="AI998" t="s">
        <v>1098</v>
      </c>
      <c r="AJ998">
        <v>45.877512000000003</v>
      </c>
      <c r="AK998" t="s">
        <v>1099</v>
      </c>
      <c r="AL998">
        <v>-89.121093999999999</v>
      </c>
      <c r="AM998">
        <v>100</v>
      </c>
      <c r="AN998">
        <v>15600</v>
      </c>
      <c r="AO998" t="s">
        <v>118</v>
      </c>
      <c r="AP998">
        <v>161</v>
      </c>
      <c r="AQ998">
        <v>128</v>
      </c>
      <c r="AR998">
        <v>0</v>
      </c>
      <c r="AZ998">
        <v>1200</v>
      </c>
      <c r="BA998">
        <v>1</v>
      </c>
      <c r="BB998" t="str">
        <f t="shared" si="48"/>
        <v xml:space="preserve">N690LS  </v>
      </c>
      <c r="BC998">
        <v>1</v>
      </c>
      <c r="BE998">
        <v>0</v>
      </c>
      <c r="BF998">
        <v>0</v>
      </c>
      <c r="BG998">
        <v>0</v>
      </c>
      <c r="BH998">
        <v>16100</v>
      </c>
      <c r="BI998">
        <v>1</v>
      </c>
      <c r="BJ998">
        <v>1</v>
      </c>
      <c r="BK998">
        <v>1</v>
      </c>
      <c r="BL998">
        <v>0</v>
      </c>
      <c r="BO998">
        <v>0</v>
      </c>
      <c r="BP998">
        <v>0</v>
      </c>
      <c r="BW998" t="str">
        <f>"13:58:47.287"</f>
        <v>13:58:47.287</v>
      </c>
      <c r="CJ998">
        <v>0</v>
      </c>
      <c r="CK998">
        <v>2</v>
      </c>
      <c r="CL998">
        <v>0</v>
      </c>
      <c r="CM998">
        <v>2</v>
      </c>
      <c r="CN998">
        <v>0</v>
      </c>
      <c r="CO998">
        <v>7</v>
      </c>
      <c r="CP998" t="s">
        <v>119</v>
      </c>
      <c r="CQ998">
        <v>197</v>
      </c>
      <c r="CR998">
        <v>0</v>
      </c>
      <c r="CW998">
        <v>16083679</v>
      </c>
      <c r="CY998">
        <v>1</v>
      </c>
      <c r="CZ998">
        <v>0</v>
      </c>
      <c r="DA998">
        <v>1</v>
      </c>
      <c r="DB998">
        <v>0</v>
      </c>
      <c r="DC998">
        <v>0</v>
      </c>
      <c r="DD998">
        <v>1</v>
      </c>
      <c r="DE998">
        <v>0</v>
      </c>
      <c r="DF998">
        <v>0</v>
      </c>
      <c r="DG998">
        <v>0</v>
      </c>
      <c r="DH998">
        <v>0</v>
      </c>
      <c r="DI998">
        <v>0</v>
      </c>
    </row>
    <row r="999" spans="1:113" x14ac:dyDescent="0.3">
      <c r="A999" t="str">
        <f>"09/28/2021 13:58:48.557"</f>
        <v>09/28/2021 13:58:48.557</v>
      </c>
      <c r="C999" t="str">
        <f t="shared" ref="C999:C1062" si="50">"FFDFD3C0"</f>
        <v>FFDFD3C0</v>
      </c>
      <c r="D999" t="s">
        <v>113</v>
      </c>
      <c r="E999">
        <v>7</v>
      </c>
      <c r="H999">
        <v>170</v>
      </c>
      <c r="I999" t="s">
        <v>114</v>
      </c>
      <c r="J999" t="s">
        <v>115</v>
      </c>
      <c r="K999">
        <v>0</v>
      </c>
      <c r="L999">
        <v>3</v>
      </c>
      <c r="M999">
        <v>0</v>
      </c>
      <c r="N999">
        <v>2</v>
      </c>
      <c r="O999">
        <v>1</v>
      </c>
      <c r="P999">
        <v>0</v>
      </c>
      <c r="Q999">
        <v>0</v>
      </c>
      <c r="S999" t="str">
        <f>"13:58:48.344"</f>
        <v>13:58:48.344</v>
      </c>
      <c r="T999" t="str">
        <f>"13:58:47.844"</f>
        <v>13:58:47.844</v>
      </c>
      <c r="U999" t="str">
        <f t="shared" si="49"/>
        <v>A92BC1</v>
      </c>
      <c r="V999">
        <v>0</v>
      </c>
      <c r="W999">
        <v>0</v>
      </c>
      <c r="X999">
        <v>2</v>
      </c>
      <c r="Z999">
        <v>0</v>
      </c>
      <c r="AA999">
        <v>9</v>
      </c>
      <c r="AB999">
        <v>3</v>
      </c>
      <c r="AC999">
        <v>0</v>
      </c>
      <c r="AD999">
        <v>10</v>
      </c>
      <c r="AE999">
        <v>0</v>
      </c>
      <c r="AF999">
        <v>3</v>
      </c>
      <c r="AG999">
        <v>2</v>
      </c>
      <c r="AH999">
        <v>0</v>
      </c>
      <c r="AI999" t="s">
        <v>1100</v>
      </c>
      <c r="AJ999">
        <v>45.878177000000001</v>
      </c>
      <c r="AK999" t="s">
        <v>1101</v>
      </c>
      <c r="AL999">
        <v>-89.119956000000002</v>
      </c>
      <c r="AM999">
        <v>100</v>
      </c>
      <c r="AN999">
        <v>15600</v>
      </c>
      <c r="AO999" t="s">
        <v>118</v>
      </c>
      <c r="AP999">
        <v>162</v>
      </c>
      <c r="AQ999">
        <v>129</v>
      </c>
      <c r="AR999">
        <v>-64</v>
      </c>
      <c r="AZ999">
        <v>1200</v>
      </c>
      <c r="BA999">
        <v>1</v>
      </c>
      <c r="BB999" t="str">
        <f t="shared" ref="BB999:BB1062" si="51">"N690LS  "</f>
        <v xml:space="preserve">N690LS  </v>
      </c>
      <c r="BC999">
        <v>1</v>
      </c>
      <c r="BE999">
        <v>0</v>
      </c>
      <c r="BF999">
        <v>0</v>
      </c>
      <c r="BG999">
        <v>0</v>
      </c>
      <c r="BH999">
        <v>16100</v>
      </c>
      <c r="BI999">
        <v>1</v>
      </c>
      <c r="BJ999">
        <v>1</v>
      </c>
      <c r="BK999">
        <v>1</v>
      </c>
      <c r="BL999">
        <v>0</v>
      </c>
      <c r="BO999">
        <v>0</v>
      </c>
      <c r="BP999">
        <v>0</v>
      </c>
      <c r="BW999" t="str">
        <f>"13:58:48.350"</f>
        <v>13:58:48.350</v>
      </c>
      <c r="CJ999">
        <v>0</v>
      </c>
      <c r="CK999">
        <v>2</v>
      </c>
      <c r="CL999">
        <v>0</v>
      </c>
      <c r="CM999">
        <v>2</v>
      </c>
      <c r="CN999">
        <v>0</v>
      </c>
      <c r="CO999">
        <v>7</v>
      </c>
      <c r="CP999" t="s">
        <v>119</v>
      </c>
      <c r="CQ999">
        <v>197</v>
      </c>
      <c r="CR999">
        <v>0</v>
      </c>
      <c r="CW999">
        <v>16084000</v>
      </c>
      <c r="CY999">
        <v>1</v>
      </c>
      <c r="CZ999">
        <v>0</v>
      </c>
      <c r="DA999">
        <v>0</v>
      </c>
      <c r="DB999">
        <v>0</v>
      </c>
      <c r="DC999">
        <v>0</v>
      </c>
      <c r="DD999">
        <v>1</v>
      </c>
      <c r="DE999">
        <v>0</v>
      </c>
      <c r="DF999">
        <v>0</v>
      </c>
      <c r="DG999">
        <v>0</v>
      </c>
      <c r="DH999">
        <v>0</v>
      </c>
      <c r="DI999">
        <v>0</v>
      </c>
    </row>
    <row r="1000" spans="1:113" x14ac:dyDescent="0.3">
      <c r="A1000" t="str">
        <f>"09/28/2021 13:58:48.557"</f>
        <v>09/28/2021 13:58:48.557</v>
      </c>
      <c r="C1000" t="str">
        <f t="shared" si="50"/>
        <v>FFDFD3C0</v>
      </c>
      <c r="D1000" t="s">
        <v>120</v>
      </c>
      <c r="E1000">
        <v>12</v>
      </c>
      <c r="F1000">
        <v>1012</v>
      </c>
      <c r="G1000" t="s">
        <v>114</v>
      </c>
      <c r="J1000" t="s">
        <v>121</v>
      </c>
      <c r="K1000">
        <v>0</v>
      </c>
      <c r="L1000">
        <v>3</v>
      </c>
      <c r="M1000">
        <v>0</v>
      </c>
      <c r="N1000">
        <v>2</v>
      </c>
      <c r="O1000">
        <v>1</v>
      </c>
      <c r="P1000">
        <v>0</v>
      </c>
      <c r="Q1000">
        <v>0</v>
      </c>
      <c r="S1000" t="str">
        <f>"13:58:48.344"</f>
        <v>13:58:48.344</v>
      </c>
      <c r="T1000" t="str">
        <f>"13:58:47.844"</f>
        <v>13:58:47.844</v>
      </c>
      <c r="U1000" t="str">
        <f t="shared" si="49"/>
        <v>A92BC1</v>
      </c>
      <c r="V1000">
        <v>0</v>
      </c>
      <c r="W1000">
        <v>0</v>
      </c>
      <c r="X1000">
        <v>2</v>
      </c>
      <c r="Z1000">
        <v>0</v>
      </c>
      <c r="AA1000">
        <v>9</v>
      </c>
      <c r="AB1000">
        <v>3</v>
      </c>
      <c r="AC1000">
        <v>0</v>
      </c>
      <c r="AD1000">
        <v>10</v>
      </c>
      <c r="AE1000">
        <v>0</v>
      </c>
      <c r="AF1000">
        <v>3</v>
      </c>
      <c r="AG1000">
        <v>2</v>
      </c>
      <c r="AH1000">
        <v>0</v>
      </c>
      <c r="AI1000" t="s">
        <v>1100</v>
      </c>
      <c r="AJ1000">
        <v>45.878177000000001</v>
      </c>
      <c r="AK1000" t="s">
        <v>1101</v>
      </c>
      <c r="AL1000">
        <v>-89.119956000000002</v>
      </c>
      <c r="AM1000">
        <v>100</v>
      </c>
      <c r="AN1000">
        <v>15600</v>
      </c>
      <c r="AO1000" t="s">
        <v>118</v>
      </c>
      <c r="AP1000">
        <v>162</v>
      </c>
      <c r="AQ1000">
        <v>129</v>
      </c>
      <c r="AR1000">
        <v>-64</v>
      </c>
      <c r="AZ1000">
        <v>1200</v>
      </c>
      <c r="BA1000">
        <v>1</v>
      </c>
      <c r="BB1000" t="str">
        <f t="shared" si="51"/>
        <v xml:space="preserve">N690LS  </v>
      </c>
      <c r="BC1000">
        <v>1</v>
      </c>
      <c r="BE1000">
        <v>0</v>
      </c>
      <c r="BF1000">
        <v>0</v>
      </c>
      <c r="BG1000">
        <v>0</v>
      </c>
      <c r="BH1000">
        <v>16100</v>
      </c>
      <c r="BI1000">
        <v>1</v>
      </c>
      <c r="BJ1000">
        <v>1</v>
      </c>
      <c r="BK1000">
        <v>1</v>
      </c>
      <c r="BL1000">
        <v>0</v>
      </c>
      <c r="BO1000">
        <v>0</v>
      </c>
      <c r="BP1000">
        <v>0</v>
      </c>
      <c r="BW1000" t="str">
        <f>"13:58:48.350"</f>
        <v>13:58:48.350</v>
      </c>
      <c r="CJ1000">
        <v>0</v>
      </c>
      <c r="CK1000">
        <v>2</v>
      </c>
      <c r="CL1000">
        <v>0</v>
      </c>
      <c r="CM1000">
        <v>2</v>
      </c>
      <c r="CN1000">
        <v>0</v>
      </c>
      <c r="CO1000">
        <v>7</v>
      </c>
      <c r="CP1000" t="s">
        <v>119</v>
      </c>
      <c r="CQ1000">
        <v>197</v>
      </c>
      <c r="CR1000">
        <v>0</v>
      </c>
      <c r="CW1000">
        <v>16084000</v>
      </c>
      <c r="CY1000">
        <v>1</v>
      </c>
      <c r="CZ1000">
        <v>0</v>
      </c>
      <c r="DA1000">
        <v>1</v>
      </c>
      <c r="DB1000">
        <v>0</v>
      </c>
      <c r="DC1000">
        <v>0</v>
      </c>
      <c r="DD1000">
        <v>1</v>
      </c>
      <c r="DE1000">
        <v>0</v>
      </c>
      <c r="DF1000">
        <v>0</v>
      </c>
      <c r="DG1000">
        <v>0</v>
      </c>
      <c r="DH1000">
        <v>0</v>
      </c>
      <c r="DI1000">
        <v>0</v>
      </c>
    </row>
    <row r="1001" spans="1:113" x14ac:dyDescent="0.3">
      <c r="A1001" t="str">
        <f>"09/28/2021 13:58:49.527"</f>
        <v>09/28/2021 13:58:49.527</v>
      </c>
      <c r="C1001" t="str">
        <f t="shared" si="50"/>
        <v>FFDFD3C0</v>
      </c>
      <c r="D1001" t="s">
        <v>120</v>
      </c>
      <c r="E1001">
        <v>12</v>
      </c>
      <c r="F1001">
        <v>1012</v>
      </c>
      <c r="G1001" t="s">
        <v>114</v>
      </c>
      <c r="J1001" t="s">
        <v>121</v>
      </c>
      <c r="K1001">
        <v>0</v>
      </c>
      <c r="L1001">
        <v>3</v>
      </c>
      <c r="M1001">
        <v>0</v>
      </c>
      <c r="N1001">
        <v>2</v>
      </c>
      <c r="O1001">
        <v>1</v>
      </c>
      <c r="P1001">
        <v>0</v>
      </c>
      <c r="Q1001">
        <v>0</v>
      </c>
      <c r="S1001" t="str">
        <f>"13:58:49.328"</f>
        <v>13:58:49.328</v>
      </c>
      <c r="T1001" t="str">
        <f>"13:58:48.828"</f>
        <v>13:58:48.828</v>
      </c>
      <c r="U1001" t="str">
        <f t="shared" si="49"/>
        <v>A92BC1</v>
      </c>
      <c r="V1001">
        <v>0</v>
      </c>
      <c r="W1001">
        <v>0</v>
      </c>
      <c r="X1001">
        <v>2</v>
      </c>
      <c r="Z1001">
        <v>0</v>
      </c>
      <c r="AA1001">
        <v>9</v>
      </c>
      <c r="AB1001">
        <v>3</v>
      </c>
      <c r="AC1001">
        <v>0</v>
      </c>
      <c r="AD1001">
        <v>10</v>
      </c>
      <c r="AE1001">
        <v>0</v>
      </c>
      <c r="AF1001">
        <v>3</v>
      </c>
      <c r="AG1001">
        <v>2</v>
      </c>
      <c r="AH1001">
        <v>0</v>
      </c>
      <c r="AI1001" t="s">
        <v>1102</v>
      </c>
      <c r="AJ1001">
        <v>45.878777999999997</v>
      </c>
      <c r="AK1001" t="s">
        <v>1103</v>
      </c>
      <c r="AL1001">
        <v>-89.118819000000002</v>
      </c>
      <c r="AM1001">
        <v>100</v>
      </c>
      <c r="AN1001">
        <v>15600</v>
      </c>
      <c r="AO1001" t="s">
        <v>118</v>
      </c>
      <c r="AP1001">
        <v>162</v>
      </c>
      <c r="AQ1001">
        <v>129</v>
      </c>
      <c r="AR1001">
        <v>-64</v>
      </c>
      <c r="AZ1001">
        <v>1200</v>
      </c>
      <c r="BA1001">
        <v>1</v>
      </c>
      <c r="BB1001" t="str">
        <f t="shared" si="51"/>
        <v xml:space="preserve">N690LS  </v>
      </c>
      <c r="BC1001">
        <v>1</v>
      </c>
      <c r="BE1001">
        <v>0</v>
      </c>
      <c r="BF1001">
        <v>0</v>
      </c>
      <c r="BG1001">
        <v>0</v>
      </c>
      <c r="BH1001">
        <v>16100</v>
      </c>
      <c r="BI1001">
        <v>1</v>
      </c>
      <c r="BJ1001">
        <v>1</v>
      </c>
      <c r="BK1001">
        <v>1</v>
      </c>
      <c r="BL1001">
        <v>0</v>
      </c>
      <c r="BO1001">
        <v>0</v>
      </c>
      <c r="BP1001">
        <v>0</v>
      </c>
      <c r="BW1001" t="str">
        <f>"13:58:49.331"</f>
        <v>13:58:49.331</v>
      </c>
      <c r="CJ1001">
        <v>0</v>
      </c>
      <c r="CK1001">
        <v>2</v>
      </c>
      <c r="CL1001">
        <v>0</v>
      </c>
      <c r="CM1001">
        <v>2</v>
      </c>
      <c r="CN1001">
        <v>0</v>
      </c>
      <c r="CO1001">
        <v>7</v>
      </c>
      <c r="CP1001" t="s">
        <v>119</v>
      </c>
      <c r="CQ1001">
        <v>197</v>
      </c>
      <c r="CR1001">
        <v>1</v>
      </c>
      <c r="CW1001">
        <v>7519542</v>
      </c>
      <c r="CY1001">
        <v>1</v>
      </c>
      <c r="CZ1001">
        <v>0</v>
      </c>
      <c r="DA1001">
        <v>0</v>
      </c>
      <c r="DB1001">
        <v>0</v>
      </c>
      <c r="DC1001">
        <v>0</v>
      </c>
      <c r="DD1001">
        <v>1</v>
      </c>
      <c r="DE1001">
        <v>0</v>
      </c>
      <c r="DF1001">
        <v>0</v>
      </c>
      <c r="DG1001">
        <v>0</v>
      </c>
      <c r="DH1001">
        <v>0</v>
      </c>
      <c r="DI1001">
        <v>0</v>
      </c>
    </row>
    <row r="1002" spans="1:113" x14ac:dyDescent="0.3">
      <c r="A1002" t="str">
        <f>"09/28/2021 13:58:49.542"</f>
        <v>09/28/2021 13:58:49.542</v>
      </c>
      <c r="C1002" t="str">
        <f t="shared" si="50"/>
        <v>FFDFD3C0</v>
      </c>
      <c r="D1002" t="s">
        <v>113</v>
      </c>
      <c r="E1002">
        <v>7</v>
      </c>
      <c r="H1002">
        <v>170</v>
      </c>
      <c r="I1002" t="s">
        <v>114</v>
      </c>
      <c r="J1002" t="s">
        <v>115</v>
      </c>
      <c r="K1002">
        <v>0</v>
      </c>
      <c r="L1002">
        <v>3</v>
      </c>
      <c r="M1002">
        <v>0</v>
      </c>
      <c r="N1002">
        <v>2</v>
      </c>
      <c r="O1002">
        <v>1</v>
      </c>
      <c r="P1002">
        <v>0</v>
      </c>
      <c r="Q1002">
        <v>0</v>
      </c>
      <c r="S1002" t="str">
        <f>"13:58:49.328"</f>
        <v>13:58:49.328</v>
      </c>
      <c r="T1002" t="str">
        <f>"13:58:48.828"</f>
        <v>13:58:48.828</v>
      </c>
      <c r="U1002" t="str">
        <f t="shared" si="49"/>
        <v>A92BC1</v>
      </c>
      <c r="V1002">
        <v>0</v>
      </c>
      <c r="W1002">
        <v>0</v>
      </c>
      <c r="X1002">
        <v>2</v>
      </c>
      <c r="Z1002">
        <v>0</v>
      </c>
      <c r="AA1002">
        <v>9</v>
      </c>
      <c r="AB1002">
        <v>3</v>
      </c>
      <c r="AC1002">
        <v>0</v>
      </c>
      <c r="AD1002">
        <v>10</v>
      </c>
      <c r="AE1002">
        <v>0</v>
      </c>
      <c r="AF1002">
        <v>3</v>
      </c>
      <c r="AG1002">
        <v>2</v>
      </c>
      <c r="AH1002">
        <v>0</v>
      </c>
      <c r="AI1002" t="s">
        <v>1102</v>
      </c>
      <c r="AJ1002">
        <v>45.878777999999997</v>
      </c>
      <c r="AK1002" t="s">
        <v>1103</v>
      </c>
      <c r="AL1002">
        <v>-89.118819000000002</v>
      </c>
      <c r="AM1002">
        <v>100</v>
      </c>
      <c r="AN1002">
        <v>15600</v>
      </c>
      <c r="AO1002" t="s">
        <v>118</v>
      </c>
      <c r="AP1002">
        <v>162</v>
      </c>
      <c r="AQ1002">
        <v>129</v>
      </c>
      <c r="AR1002">
        <v>-64</v>
      </c>
      <c r="AZ1002">
        <v>1200</v>
      </c>
      <c r="BA1002">
        <v>1</v>
      </c>
      <c r="BB1002" t="str">
        <f t="shared" si="51"/>
        <v xml:space="preserve">N690LS  </v>
      </c>
      <c r="BC1002">
        <v>1</v>
      </c>
      <c r="BE1002">
        <v>0</v>
      </c>
      <c r="BF1002">
        <v>0</v>
      </c>
      <c r="BG1002">
        <v>0</v>
      </c>
      <c r="BH1002">
        <v>16100</v>
      </c>
      <c r="BI1002">
        <v>1</v>
      </c>
      <c r="BJ1002">
        <v>1</v>
      </c>
      <c r="BK1002">
        <v>1</v>
      </c>
      <c r="BL1002">
        <v>0</v>
      </c>
      <c r="BO1002">
        <v>0</v>
      </c>
      <c r="BP1002">
        <v>0</v>
      </c>
      <c r="BW1002" t="str">
        <f>"13:58:49.331"</f>
        <v>13:58:49.331</v>
      </c>
      <c r="CJ1002">
        <v>0</v>
      </c>
      <c r="CK1002">
        <v>2</v>
      </c>
      <c r="CL1002">
        <v>0</v>
      </c>
      <c r="CM1002">
        <v>2</v>
      </c>
      <c r="CN1002">
        <v>0</v>
      </c>
      <c r="CO1002">
        <v>7</v>
      </c>
      <c r="CP1002" t="s">
        <v>119</v>
      </c>
      <c r="CQ1002">
        <v>197</v>
      </c>
      <c r="CR1002">
        <v>1</v>
      </c>
      <c r="CW1002">
        <v>7519542</v>
      </c>
      <c r="CY1002">
        <v>1</v>
      </c>
      <c r="CZ1002">
        <v>0</v>
      </c>
      <c r="DA1002">
        <v>1</v>
      </c>
      <c r="DB1002">
        <v>0</v>
      </c>
      <c r="DC1002">
        <v>0</v>
      </c>
      <c r="DD1002">
        <v>1</v>
      </c>
      <c r="DE1002">
        <v>0</v>
      </c>
      <c r="DF1002">
        <v>0</v>
      </c>
      <c r="DG1002">
        <v>0</v>
      </c>
      <c r="DH1002">
        <v>0</v>
      </c>
      <c r="DI1002">
        <v>0</v>
      </c>
    </row>
    <row r="1003" spans="1:113" x14ac:dyDescent="0.3">
      <c r="A1003" t="str">
        <f>"09/28/2021 13:58:50.605"</f>
        <v>09/28/2021 13:58:50.605</v>
      </c>
      <c r="C1003" t="str">
        <f t="shared" si="50"/>
        <v>FFDFD3C0</v>
      </c>
      <c r="D1003" t="s">
        <v>113</v>
      </c>
      <c r="E1003">
        <v>7</v>
      </c>
      <c r="H1003">
        <v>170</v>
      </c>
      <c r="I1003" t="s">
        <v>114</v>
      </c>
      <c r="J1003" t="s">
        <v>115</v>
      </c>
      <c r="K1003">
        <v>0</v>
      </c>
      <c r="L1003">
        <v>3</v>
      </c>
      <c r="M1003">
        <v>0</v>
      </c>
      <c r="N1003">
        <v>2</v>
      </c>
      <c r="O1003">
        <v>1</v>
      </c>
      <c r="P1003">
        <v>0</v>
      </c>
      <c r="Q1003">
        <v>0</v>
      </c>
      <c r="S1003" t="str">
        <f>"13:58:50.406"</f>
        <v>13:58:50.406</v>
      </c>
      <c r="T1003" t="str">
        <f>"13:58:50.006"</f>
        <v>13:58:50.006</v>
      </c>
      <c r="U1003" t="str">
        <f t="shared" si="49"/>
        <v>A92BC1</v>
      </c>
      <c r="V1003">
        <v>0</v>
      </c>
      <c r="W1003">
        <v>0</v>
      </c>
      <c r="X1003">
        <v>2</v>
      </c>
      <c r="Z1003">
        <v>0</v>
      </c>
      <c r="AA1003">
        <v>9</v>
      </c>
      <c r="AB1003">
        <v>3</v>
      </c>
      <c r="AC1003">
        <v>0</v>
      </c>
      <c r="AD1003">
        <v>10</v>
      </c>
      <c r="AE1003">
        <v>0</v>
      </c>
      <c r="AF1003">
        <v>3</v>
      </c>
      <c r="AG1003">
        <v>2</v>
      </c>
      <c r="AH1003">
        <v>0</v>
      </c>
      <c r="AI1003" t="s">
        <v>1104</v>
      </c>
      <c r="AJ1003">
        <v>45.879356999999999</v>
      </c>
      <c r="AK1003" t="s">
        <v>1105</v>
      </c>
      <c r="AL1003">
        <v>-89.117745999999997</v>
      </c>
      <c r="AM1003">
        <v>100</v>
      </c>
      <c r="AN1003">
        <v>15600</v>
      </c>
      <c r="AO1003" t="s">
        <v>118</v>
      </c>
      <c r="AP1003">
        <v>163</v>
      </c>
      <c r="AQ1003">
        <v>130</v>
      </c>
      <c r="AR1003">
        <v>-64</v>
      </c>
      <c r="AZ1003">
        <v>1200</v>
      </c>
      <c r="BA1003">
        <v>1</v>
      </c>
      <c r="BB1003" t="str">
        <f t="shared" si="51"/>
        <v xml:space="preserve">N690LS  </v>
      </c>
      <c r="BC1003">
        <v>1</v>
      </c>
      <c r="BE1003">
        <v>0</v>
      </c>
      <c r="BF1003">
        <v>0</v>
      </c>
      <c r="BG1003">
        <v>0</v>
      </c>
      <c r="BH1003">
        <v>16100</v>
      </c>
      <c r="BI1003">
        <v>1</v>
      </c>
      <c r="BJ1003">
        <v>1</v>
      </c>
      <c r="BK1003">
        <v>1</v>
      </c>
      <c r="BL1003">
        <v>0</v>
      </c>
      <c r="BO1003">
        <v>0</v>
      </c>
      <c r="BP1003">
        <v>0</v>
      </c>
      <c r="BW1003" t="str">
        <f>"13:58:50.408"</f>
        <v>13:58:50.408</v>
      </c>
      <c r="CJ1003">
        <v>0</v>
      </c>
      <c r="CK1003">
        <v>2</v>
      </c>
      <c r="CL1003">
        <v>0</v>
      </c>
      <c r="CM1003">
        <v>2</v>
      </c>
      <c r="CN1003">
        <v>0</v>
      </c>
      <c r="CO1003">
        <v>7</v>
      </c>
      <c r="CP1003" t="s">
        <v>119</v>
      </c>
      <c r="CQ1003">
        <v>197</v>
      </c>
      <c r="CR1003">
        <v>1</v>
      </c>
      <c r="CW1003">
        <v>7520830</v>
      </c>
      <c r="CY1003">
        <v>1</v>
      </c>
      <c r="CZ1003">
        <v>0</v>
      </c>
      <c r="DA1003">
        <v>0</v>
      </c>
      <c r="DB1003">
        <v>0</v>
      </c>
      <c r="DC1003">
        <v>0</v>
      </c>
      <c r="DD1003">
        <v>1</v>
      </c>
      <c r="DE1003">
        <v>0</v>
      </c>
      <c r="DF1003">
        <v>0</v>
      </c>
      <c r="DG1003">
        <v>0</v>
      </c>
      <c r="DH1003">
        <v>0</v>
      </c>
      <c r="DI1003">
        <v>0</v>
      </c>
    </row>
    <row r="1004" spans="1:113" x14ac:dyDescent="0.3">
      <c r="A1004" t="str">
        <f>"09/28/2021 13:58:50.683"</f>
        <v>09/28/2021 13:58:50.683</v>
      </c>
      <c r="C1004" t="str">
        <f t="shared" si="50"/>
        <v>FFDFD3C0</v>
      </c>
      <c r="D1004" t="s">
        <v>120</v>
      </c>
      <c r="E1004">
        <v>12</v>
      </c>
      <c r="F1004">
        <v>1012</v>
      </c>
      <c r="G1004" t="s">
        <v>114</v>
      </c>
      <c r="J1004" t="s">
        <v>121</v>
      </c>
      <c r="K1004">
        <v>0</v>
      </c>
      <c r="L1004">
        <v>3</v>
      </c>
      <c r="M1004">
        <v>0</v>
      </c>
      <c r="N1004">
        <v>2</v>
      </c>
      <c r="O1004">
        <v>1</v>
      </c>
      <c r="P1004">
        <v>0</v>
      </c>
      <c r="Q1004">
        <v>0</v>
      </c>
      <c r="S1004" t="str">
        <f>"13:58:50.406"</f>
        <v>13:58:50.406</v>
      </c>
      <c r="T1004" t="str">
        <f>"13:58:50.006"</f>
        <v>13:58:50.006</v>
      </c>
      <c r="U1004" t="str">
        <f t="shared" si="49"/>
        <v>A92BC1</v>
      </c>
      <c r="V1004">
        <v>0</v>
      </c>
      <c r="W1004">
        <v>0</v>
      </c>
      <c r="X1004">
        <v>2</v>
      </c>
      <c r="Z1004">
        <v>0</v>
      </c>
      <c r="AA1004">
        <v>9</v>
      </c>
      <c r="AB1004">
        <v>3</v>
      </c>
      <c r="AC1004">
        <v>0</v>
      </c>
      <c r="AD1004">
        <v>10</v>
      </c>
      <c r="AE1004">
        <v>0</v>
      </c>
      <c r="AF1004">
        <v>3</v>
      </c>
      <c r="AG1004">
        <v>2</v>
      </c>
      <c r="AH1004">
        <v>0</v>
      </c>
      <c r="AI1004" t="s">
        <v>1104</v>
      </c>
      <c r="AJ1004">
        <v>45.879356999999999</v>
      </c>
      <c r="AK1004" t="s">
        <v>1105</v>
      </c>
      <c r="AL1004">
        <v>-89.117745999999997</v>
      </c>
      <c r="AM1004">
        <v>100</v>
      </c>
      <c r="AN1004">
        <v>15600</v>
      </c>
      <c r="AO1004" t="s">
        <v>118</v>
      </c>
      <c r="AP1004">
        <v>163</v>
      </c>
      <c r="AQ1004">
        <v>130</v>
      </c>
      <c r="AR1004">
        <v>-64</v>
      </c>
      <c r="AZ1004">
        <v>1200</v>
      </c>
      <c r="BA1004">
        <v>1</v>
      </c>
      <c r="BB1004" t="str">
        <f t="shared" si="51"/>
        <v xml:space="preserve">N690LS  </v>
      </c>
      <c r="BC1004">
        <v>1</v>
      </c>
      <c r="BE1004">
        <v>0</v>
      </c>
      <c r="BF1004">
        <v>0</v>
      </c>
      <c r="BG1004">
        <v>0</v>
      </c>
      <c r="BH1004">
        <v>16100</v>
      </c>
      <c r="BI1004">
        <v>1</v>
      </c>
      <c r="BJ1004">
        <v>1</v>
      </c>
      <c r="BK1004">
        <v>1</v>
      </c>
      <c r="BL1004">
        <v>0</v>
      </c>
      <c r="BO1004">
        <v>0</v>
      </c>
      <c r="BP1004">
        <v>0</v>
      </c>
      <c r="BW1004" t="str">
        <f>"13:58:50.408"</f>
        <v>13:58:50.408</v>
      </c>
      <c r="CJ1004">
        <v>0</v>
      </c>
      <c r="CK1004">
        <v>2</v>
      </c>
      <c r="CL1004">
        <v>0</v>
      </c>
      <c r="CM1004">
        <v>2</v>
      </c>
      <c r="CN1004">
        <v>0</v>
      </c>
      <c r="CO1004">
        <v>7</v>
      </c>
      <c r="CP1004" t="s">
        <v>119</v>
      </c>
      <c r="CQ1004">
        <v>197</v>
      </c>
      <c r="CR1004">
        <v>1</v>
      </c>
      <c r="CW1004">
        <v>7520830</v>
      </c>
      <c r="CY1004">
        <v>1</v>
      </c>
      <c r="CZ1004">
        <v>0</v>
      </c>
      <c r="DA1004">
        <v>1</v>
      </c>
      <c r="DB1004">
        <v>0</v>
      </c>
      <c r="DC1004">
        <v>0</v>
      </c>
      <c r="DD1004">
        <v>1</v>
      </c>
      <c r="DE1004">
        <v>0</v>
      </c>
      <c r="DF1004">
        <v>0</v>
      </c>
      <c r="DG1004">
        <v>0</v>
      </c>
      <c r="DH1004">
        <v>0</v>
      </c>
      <c r="DI1004">
        <v>0</v>
      </c>
    </row>
    <row r="1005" spans="1:113" x14ac:dyDescent="0.3">
      <c r="A1005" t="str">
        <f>"09/28/2021 13:58:51.590"</f>
        <v>09/28/2021 13:58:51.590</v>
      </c>
      <c r="C1005" t="str">
        <f t="shared" si="50"/>
        <v>FFDFD3C0</v>
      </c>
      <c r="D1005" t="s">
        <v>113</v>
      </c>
      <c r="E1005">
        <v>7</v>
      </c>
      <c r="H1005">
        <v>170</v>
      </c>
      <c r="I1005" t="s">
        <v>114</v>
      </c>
      <c r="J1005" t="s">
        <v>115</v>
      </c>
      <c r="K1005">
        <v>0</v>
      </c>
      <c r="L1005">
        <v>3</v>
      </c>
      <c r="M1005">
        <v>0</v>
      </c>
      <c r="N1005">
        <v>2</v>
      </c>
      <c r="O1005">
        <v>1</v>
      </c>
      <c r="P1005">
        <v>0</v>
      </c>
      <c r="Q1005">
        <v>0</v>
      </c>
      <c r="S1005" t="str">
        <f>"13:58:51.367"</f>
        <v>13:58:51.367</v>
      </c>
      <c r="T1005" t="str">
        <f>"13:58:50.967"</f>
        <v>13:58:50.967</v>
      </c>
      <c r="U1005" t="str">
        <f t="shared" si="49"/>
        <v>A92BC1</v>
      </c>
      <c r="V1005">
        <v>0</v>
      </c>
      <c r="W1005">
        <v>0</v>
      </c>
      <c r="X1005">
        <v>2</v>
      </c>
      <c r="Z1005">
        <v>0</v>
      </c>
      <c r="AA1005">
        <v>9</v>
      </c>
      <c r="AB1005">
        <v>3</v>
      </c>
      <c r="AC1005">
        <v>0</v>
      </c>
      <c r="AD1005">
        <v>10</v>
      </c>
      <c r="AE1005">
        <v>0</v>
      </c>
      <c r="AF1005">
        <v>3</v>
      </c>
      <c r="AG1005">
        <v>2</v>
      </c>
      <c r="AH1005">
        <v>0</v>
      </c>
      <c r="AI1005" t="s">
        <v>1106</v>
      </c>
      <c r="AJ1005">
        <v>45.879958000000002</v>
      </c>
      <c r="AK1005" t="s">
        <v>1107</v>
      </c>
      <c r="AL1005">
        <v>-89.116673000000006</v>
      </c>
      <c r="AM1005">
        <v>100</v>
      </c>
      <c r="AN1005">
        <v>15600</v>
      </c>
      <c r="AO1005" t="s">
        <v>118</v>
      </c>
      <c r="AP1005">
        <v>163</v>
      </c>
      <c r="AQ1005">
        <v>130</v>
      </c>
      <c r="AR1005">
        <v>-64</v>
      </c>
      <c r="AZ1005">
        <v>1200</v>
      </c>
      <c r="BA1005">
        <v>1</v>
      </c>
      <c r="BB1005" t="str">
        <f t="shared" si="51"/>
        <v xml:space="preserve">N690LS  </v>
      </c>
      <c r="BC1005">
        <v>1</v>
      </c>
      <c r="BE1005">
        <v>0</v>
      </c>
      <c r="BF1005">
        <v>0</v>
      </c>
      <c r="BG1005">
        <v>0</v>
      </c>
      <c r="BH1005">
        <v>16100</v>
      </c>
      <c r="BI1005">
        <v>1</v>
      </c>
      <c r="BJ1005">
        <v>1</v>
      </c>
      <c r="BK1005">
        <v>1</v>
      </c>
      <c r="BL1005">
        <v>0</v>
      </c>
      <c r="BO1005">
        <v>0</v>
      </c>
      <c r="BP1005">
        <v>0</v>
      </c>
      <c r="BW1005" t="str">
        <f>"13:58:51.370"</f>
        <v>13:58:51.370</v>
      </c>
      <c r="CJ1005">
        <v>0</v>
      </c>
      <c r="CK1005">
        <v>2</v>
      </c>
      <c r="CL1005">
        <v>0</v>
      </c>
      <c r="CM1005">
        <v>2</v>
      </c>
      <c r="CN1005">
        <v>0</v>
      </c>
      <c r="CO1005">
        <v>7</v>
      </c>
      <c r="CP1005" t="s">
        <v>119</v>
      </c>
      <c r="CQ1005">
        <v>197</v>
      </c>
      <c r="CR1005">
        <v>1</v>
      </c>
      <c r="CW1005">
        <v>7522002</v>
      </c>
      <c r="CY1005">
        <v>1</v>
      </c>
      <c r="CZ1005">
        <v>0</v>
      </c>
      <c r="DA1005">
        <v>0</v>
      </c>
      <c r="DB1005">
        <v>0</v>
      </c>
      <c r="DC1005">
        <v>0</v>
      </c>
      <c r="DD1005">
        <v>1</v>
      </c>
      <c r="DE1005">
        <v>0</v>
      </c>
      <c r="DF1005">
        <v>0</v>
      </c>
      <c r="DG1005">
        <v>0</v>
      </c>
      <c r="DH1005">
        <v>0</v>
      </c>
      <c r="DI1005">
        <v>0</v>
      </c>
    </row>
    <row r="1006" spans="1:113" x14ac:dyDescent="0.3">
      <c r="A1006" t="str">
        <f>"09/28/2021 13:58:51.590"</f>
        <v>09/28/2021 13:58:51.590</v>
      </c>
      <c r="C1006" t="str">
        <f t="shared" si="50"/>
        <v>FFDFD3C0</v>
      </c>
      <c r="D1006" t="s">
        <v>120</v>
      </c>
      <c r="E1006">
        <v>12</v>
      </c>
      <c r="F1006">
        <v>1012</v>
      </c>
      <c r="G1006" t="s">
        <v>114</v>
      </c>
      <c r="J1006" t="s">
        <v>121</v>
      </c>
      <c r="K1006">
        <v>0</v>
      </c>
      <c r="L1006">
        <v>3</v>
      </c>
      <c r="M1006">
        <v>0</v>
      </c>
      <c r="N1006">
        <v>2</v>
      </c>
      <c r="O1006">
        <v>1</v>
      </c>
      <c r="P1006">
        <v>0</v>
      </c>
      <c r="Q1006">
        <v>0</v>
      </c>
      <c r="S1006" t="str">
        <f>"13:58:51.367"</f>
        <v>13:58:51.367</v>
      </c>
      <c r="T1006" t="str">
        <f>"13:58:50.967"</f>
        <v>13:58:50.967</v>
      </c>
      <c r="U1006" t="str">
        <f t="shared" si="49"/>
        <v>A92BC1</v>
      </c>
      <c r="V1006">
        <v>0</v>
      </c>
      <c r="W1006">
        <v>0</v>
      </c>
      <c r="X1006">
        <v>2</v>
      </c>
      <c r="Z1006">
        <v>0</v>
      </c>
      <c r="AA1006">
        <v>9</v>
      </c>
      <c r="AB1006">
        <v>3</v>
      </c>
      <c r="AC1006">
        <v>0</v>
      </c>
      <c r="AD1006">
        <v>10</v>
      </c>
      <c r="AE1006">
        <v>0</v>
      </c>
      <c r="AF1006">
        <v>3</v>
      </c>
      <c r="AG1006">
        <v>2</v>
      </c>
      <c r="AH1006">
        <v>0</v>
      </c>
      <c r="AI1006" t="s">
        <v>1106</v>
      </c>
      <c r="AJ1006">
        <v>45.879958000000002</v>
      </c>
      <c r="AK1006" t="s">
        <v>1107</v>
      </c>
      <c r="AL1006">
        <v>-89.116673000000006</v>
      </c>
      <c r="AM1006">
        <v>100</v>
      </c>
      <c r="AN1006">
        <v>15600</v>
      </c>
      <c r="AO1006" t="s">
        <v>118</v>
      </c>
      <c r="AP1006">
        <v>163</v>
      </c>
      <c r="AQ1006">
        <v>130</v>
      </c>
      <c r="AR1006">
        <v>-64</v>
      </c>
      <c r="AZ1006">
        <v>1200</v>
      </c>
      <c r="BA1006">
        <v>1</v>
      </c>
      <c r="BB1006" t="str">
        <f t="shared" si="51"/>
        <v xml:space="preserve">N690LS  </v>
      </c>
      <c r="BC1006">
        <v>1</v>
      </c>
      <c r="BE1006">
        <v>0</v>
      </c>
      <c r="BF1006">
        <v>0</v>
      </c>
      <c r="BG1006">
        <v>0</v>
      </c>
      <c r="BH1006">
        <v>16100</v>
      </c>
      <c r="BI1006">
        <v>1</v>
      </c>
      <c r="BJ1006">
        <v>1</v>
      </c>
      <c r="BK1006">
        <v>1</v>
      </c>
      <c r="BL1006">
        <v>0</v>
      </c>
      <c r="BO1006">
        <v>0</v>
      </c>
      <c r="BP1006">
        <v>0</v>
      </c>
      <c r="BW1006" t="str">
        <f>"13:58:51.370"</f>
        <v>13:58:51.370</v>
      </c>
      <c r="CJ1006">
        <v>0</v>
      </c>
      <c r="CK1006">
        <v>2</v>
      </c>
      <c r="CL1006">
        <v>0</v>
      </c>
      <c r="CM1006">
        <v>2</v>
      </c>
      <c r="CN1006">
        <v>0</v>
      </c>
      <c r="CO1006">
        <v>7</v>
      </c>
      <c r="CP1006" t="s">
        <v>119</v>
      </c>
      <c r="CQ1006">
        <v>197</v>
      </c>
      <c r="CR1006">
        <v>1</v>
      </c>
      <c r="CW1006">
        <v>7522002</v>
      </c>
      <c r="CY1006">
        <v>1</v>
      </c>
      <c r="CZ1006">
        <v>0</v>
      </c>
      <c r="DA1006">
        <v>1</v>
      </c>
      <c r="DB1006">
        <v>0</v>
      </c>
      <c r="DC1006">
        <v>0</v>
      </c>
      <c r="DD1006">
        <v>1</v>
      </c>
      <c r="DE1006">
        <v>0</v>
      </c>
      <c r="DF1006">
        <v>0</v>
      </c>
      <c r="DG1006">
        <v>0</v>
      </c>
      <c r="DH1006">
        <v>0</v>
      </c>
      <c r="DI1006">
        <v>0</v>
      </c>
    </row>
    <row r="1007" spans="1:113" x14ac:dyDescent="0.3">
      <c r="A1007" t="str">
        <f>"09/28/2021 13:58:52.480"</f>
        <v>09/28/2021 13:58:52.480</v>
      </c>
      <c r="C1007" t="str">
        <f t="shared" si="50"/>
        <v>FFDFD3C0</v>
      </c>
      <c r="D1007" t="s">
        <v>113</v>
      </c>
      <c r="E1007">
        <v>7</v>
      </c>
      <c r="H1007">
        <v>170</v>
      </c>
      <c r="I1007" t="s">
        <v>114</v>
      </c>
      <c r="J1007" t="s">
        <v>115</v>
      </c>
      <c r="K1007">
        <v>0</v>
      </c>
      <c r="L1007">
        <v>3</v>
      </c>
      <c r="M1007">
        <v>0</v>
      </c>
      <c r="N1007">
        <v>2</v>
      </c>
      <c r="O1007">
        <v>1</v>
      </c>
      <c r="P1007">
        <v>0</v>
      </c>
      <c r="Q1007">
        <v>0</v>
      </c>
      <c r="S1007" t="str">
        <f>"13:58:52.289"</f>
        <v>13:58:52.289</v>
      </c>
      <c r="T1007" t="str">
        <f>"13:58:51.889"</f>
        <v>13:58:51.889</v>
      </c>
      <c r="U1007" t="str">
        <f t="shared" si="49"/>
        <v>A92BC1</v>
      </c>
      <c r="V1007">
        <v>0</v>
      </c>
      <c r="W1007">
        <v>0</v>
      </c>
      <c r="X1007">
        <v>2</v>
      </c>
      <c r="Z1007">
        <v>0</v>
      </c>
      <c r="AA1007">
        <v>9</v>
      </c>
      <c r="AB1007">
        <v>3</v>
      </c>
      <c r="AC1007">
        <v>0</v>
      </c>
      <c r="AD1007">
        <v>10</v>
      </c>
      <c r="AE1007">
        <v>0</v>
      </c>
      <c r="AF1007">
        <v>3</v>
      </c>
      <c r="AG1007">
        <v>2</v>
      </c>
      <c r="AH1007">
        <v>0</v>
      </c>
      <c r="AI1007" t="s">
        <v>1108</v>
      </c>
      <c r="AJ1007">
        <v>45.880493999999999</v>
      </c>
      <c r="AK1007" t="s">
        <v>1109</v>
      </c>
      <c r="AL1007">
        <v>-89.115729000000002</v>
      </c>
      <c r="AM1007">
        <v>100</v>
      </c>
      <c r="AN1007">
        <v>15600</v>
      </c>
      <c r="AO1007" t="s">
        <v>118</v>
      </c>
      <c r="AP1007">
        <v>163</v>
      </c>
      <c r="AQ1007">
        <v>130</v>
      </c>
      <c r="AR1007">
        <v>-64</v>
      </c>
      <c r="AZ1007">
        <v>1200</v>
      </c>
      <c r="BA1007">
        <v>1</v>
      </c>
      <c r="BB1007" t="str">
        <f t="shared" si="51"/>
        <v xml:space="preserve">N690LS  </v>
      </c>
      <c r="BC1007">
        <v>1</v>
      </c>
      <c r="BE1007">
        <v>0</v>
      </c>
      <c r="BF1007">
        <v>0</v>
      </c>
      <c r="BG1007">
        <v>0</v>
      </c>
      <c r="BH1007">
        <v>16100</v>
      </c>
      <c r="BI1007">
        <v>1</v>
      </c>
      <c r="BJ1007">
        <v>1</v>
      </c>
      <c r="BK1007">
        <v>1</v>
      </c>
      <c r="BL1007">
        <v>0</v>
      </c>
      <c r="BO1007">
        <v>0</v>
      </c>
      <c r="BP1007">
        <v>0</v>
      </c>
      <c r="BW1007" t="str">
        <f>"13:58:52.294"</f>
        <v>13:58:52.294</v>
      </c>
      <c r="CJ1007">
        <v>0</v>
      </c>
      <c r="CK1007">
        <v>2</v>
      </c>
      <c r="CL1007">
        <v>0</v>
      </c>
      <c r="CM1007">
        <v>2</v>
      </c>
      <c r="CN1007">
        <v>0</v>
      </c>
      <c r="CO1007">
        <v>7</v>
      </c>
      <c r="CP1007" t="s">
        <v>119</v>
      </c>
      <c r="CQ1007">
        <v>209</v>
      </c>
      <c r="CR1007">
        <v>3</v>
      </c>
      <c r="CW1007">
        <v>7266748</v>
      </c>
      <c r="CY1007">
        <v>1</v>
      </c>
      <c r="CZ1007">
        <v>0</v>
      </c>
      <c r="DA1007">
        <v>0</v>
      </c>
      <c r="DB1007">
        <v>0</v>
      </c>
      <c r="DC1007">
        <v>0</v>
      </c>
      <c r="DD1007">
        <v>1</v>
      </c>
      <c r="DE1007">
        <v>0</v>
      </c>
      <c r="DF1007">
        <v>0</v>
      </c>
      <c r="DG1007">
        <v>0</v>
      </c>
      <c r="DH1007">
        <v>0</v>
      </c>
      <c r="DI1007">
        <v>0</v>
      </c>
    </row>
    <row r="1008" spans="1:113" x14ac:dyDescent="0.3">
      <c r="A1008" t="str">
        <f>"09/28/2021 13:58:52.496"</f>
        <v>09/28/2021 13:58:52.496</v>
      </c>
      <c r="C1008" t="str">
        <f t="shared" si="50"/>
        <v>FFDFD3C0</v>
      </c>
      <c r="D1008" t="s">
        <v>120</v>
      </c>
      <c r="E1008">
        <v>12</v>
      </c>
      <c r="F1008">
        <v>1012</v>
      </c>
      <c r="G1008" t="s">
        <v>114</v>
      </c>
      <c r="J1008" t="s">
        <v>121</v>
      </c>
      <c r="K1008">
        <v>0</v>
      </c>
      <c r="L1008">
        <v>3</v>
      </c>
      <c r="M1008">
        <v>0</v>
      </c>
      <c r="N1008">
        <v>2</v>
      </c>
      <c r="O1008">
        <v>1</v>
      </c>
      <c r="P1008">
        <v>0</v>
      </c>
      <c r="Q1008">
        <v>0</v>
      </c>
      <c r="S1008" t="str">
        <f>"13:58:52.289"</f>
        <v>13:58:52.289</v>
      </c>
      <c r="T1008" t="str">
        <f>"13:58:51.889"</f>
        <v>13:58:51.889</v>
      </c>
      <c r="U1008" t="str">
        <f t="shared" si="49"/>
        <v>A92BC1</v>
      </c>
      <c r="V1008">
        <v>0</v>
      </c>
      <c r="W1008">
        <v>0</v>
      </c>
      <c r="X1008">
        <v>2</v>
      </c>
      <c r="Z1008">
        <v>0</v>
      </c>
      <c r="AA1008">
        <v>9</v>
      </c>
      <c r="AB1008">
        <v>3</v>
      </c>
      <c r="AC1008">
        <v>0</v>
      </c>
      <c r="AD1008">
        <v>10</v>
      </c>
      <c r="AE1008">
        <v>0</v>
      </c>
      <c r="AF1008">
        <v>3</v>
      </c>
      <c r="AG1008">
        <v>2</v>
      </c>
      <c r="AH1008">
        <v>0</v>
      </c>
      <c r="AI1008" t="s">
        <v>1108</v>
      </c>
      <c r="AJ1008">
        <v>45.880493999999999</v>
      </c>
      <c r="AK1008" t="s">
        <v>1109</v>
      </c>
      <c r="AL1008">
        <v>-89.115729000000002</v>
      </c>
      <c r="AM1008">
        <v>100</v>
      </c>
      <c r="AN1008">
        <v>15600</v>
      </c>
      <c r="AO1008" t="s">
        <v>118</v>
      </c>
      <c r="AP1008">
        <v>163</v>
      </c>
      <c r="AQ1008">
        <v>130</v>
      </c>
      <c r="AR1008">
        <v>-64</v>
      </c>
      <c r="AZ1008">
        <v>1200</v>
      </c>
      <c r="BA1008">
        <v>1</v>
      </c>
      <c r="BB1008" t="str">
        <f t="shared" si="51"/>
        <v xml:space="preserve">N690LS  </v>
      </c>
      <c r="BC1008">
        <v>1</v>
      </c>
      <c r="BE1008">
        <v>0</v>
      </c>
      <c r="BF1008">
        <v>0</v>
      </c>
      <c r="BG1008">
        <v>0</v>
      </c>
      <c r="BH1008">
        <v>16100</v>
      </c>
      <c r="BI1008">
        <v>1</v>
      </c>
      <c r="BJ1008">
        <v>1</v>
      </c>
      <c r="BK1008">
        <v>1</v>
      </c>
      <c r="BL1008">
        <v>0</v>
      </c>
      <c r="BO1008">
        <v>0</v>
      </c>
      <c r="BP1008">
        <v>0</v>
      </c>
      <c r="BW1008" t="str">
        <f>"13:58:52.294"</f>
        <v>13:58:52.294</v>
      </c>
      <c r="CJ1008">
        <v>0</v>
      </c>
      <c r="CK1008">
        <v>2</v>
      </c>
      <c r="CL1008">
        <v>0</v>
      </c>
      <c r="CM1008">
        <v>2</v>
      </c>
      <c r="CN1008">
        <v>0</v>
      </c>
      <c r="CO1008">
        <v>7</v>
      </c>
      <c r="CP1008" t="s">
        <v>119</v>
      </c>
      <c r="CQ1008">
        <v>209</v>
      </c>
      <c r="CR1008">
        <v>3</v>
      </c>
      <c r="CW1008">
        <v>7266748</v>
      </c>
      <c r="CY1008">
        <v>1</v>
      </c>
      <c r="CZ1008">
        <v>0</v>
      </c>
      <c r="DA1008">
        <v>1</v>
      </c>
      <c r="DB1008">
        <v>0</v>
      </c>
      <c r="DC1008">
        <v>0</v>
      </c>
      <c r="DD1008">
        <v>1</v>
      </c>
      <c r="DE1008">
        <v>0</v>
      </c>
      <c r="DF1008">
        <v>0</v>
      </c>
      <c r="DG1008">
        <v>0</v>
      </c>
      <c r="DH1008">
        <v>0</v>
      </c>
      <c r="DI1008">
        <v>0</v>
      </c>
    </row>
    <row r="1009" spans="1:113" x14ac:dyDescent="0.3">
      <c r="A1009" t="str">
        <f>"09/28/2021 13:58:53.559"</f>
        <v>09/28/2021 13:58:53.559</v>
      </c>
      <c r="C1009" t="str">
        <f t="shared" si="50"/>
        <v>FFDFD3C0</v>
      </c>
      <c r="D1009" t="s">
        <v>113</v>
      </c>
      <c r="E1009">
        <v>7</v>
      </c>
      <c r="H1009">
        <v>170</v>
      </c>
      <c r="I1009" t="s">
        <v>114</v>
      </c>
      <c r="J1009" t="s">
        <v>115</v>
      </c>
      <c r="K1009">
        <v>0</v>
      </c>
      <c r="L1009">
        <v>3</v>
      </c>
      <c r="M1009">
        <v>0</v>
      </c>
      <c r="N1009">
        <v>2</v>
      </c>
      <c r="O1009">
        <v>1</v>
      </c>
      <c r="P1009">
        <v>0</v>
      </c>
      <c r="Q1009">
        <v>0</v>
      </c>
      <c r="S1009" t="str">
        <f>"13:58:53.336"</f>
        <v>13:58:53.336</v>
      </c>
      <c r="T1009" t="str">
        <f>"13:58:52.836"</f>
        <v>13:58:52.836</v>
      </c>
      <c r="U1009" t="str">
        <f t="shared" si="49"/>
        <v>A92BC1</v>
      </c>
      <c r="V1009">
        <v>0</v>
      </c>
      <c r="W1009">
        <v>0</v>
      </c>
      <c r="X1009">
        <v>2</v>
      </c>
      <c r="Z1009">
        <v>0</v>
      </c>
      <c r="AA1009">
        <v>9</v>
      </c>
      <c r="AB1009">
        <v>3</v>
      </c>
      <c r="AC1009">
        <v>0</v>
      </c>
      <c r="AD1009">
        <v>10</v>
      </c>
      <c r="AE1009">
        <v>0</v>
      </c>
      <c r="AF1009">
        <v>3</v>
      </c>
      <c r="AG1009">
        <v>2</v>
      </c>
      <c r="AH1009">
        <v>0</v>
      </c>
      <c r="AI1009" t="s">
        <v>1110</v>
      </c>
      <c r="AJ1009">
        <v>45.881158999999997</v>
      </c>
      <c r="AK1009" t="s">
        <v>1111</v>
      </c>
      <c r="AL1009">
        <v>-89.114528000000007</v>
      </c>
      <c r="AM1009">
        <v>100</v>
      </c>
      <c r="AN1009">
        <v>15600</v>
      </c>
      <c r="AO1009" t="s">
        <v>118</v>
      </c>
      <c r="AP1009">
        <v>163</v>
      </c>
      <c r="AQ1009">
        <v>130</v>
      </c>
      <c r="AR1009">
        <v>0</v>
      </c>
      <c r="AZ1009">
        <v>1200</v>
      </c>
      <c r="BA1009">
        <v>1</v>
      </c>
      <c r="BB1009" t="str">
        <f t="shared" si="51"/>
        <v xml:space="preserve">N690LS  </v>
      </c>
      <c r="BC1009">
        <v>1</v>
      </c>
      <c r="BE1009">
        <v>0</v>
      </c>
      <c r="BF1009">
        <v>0</v>
      </c>
      <c r="BG1009">
        <v>0</v>
      </c>
      <c r="BH1009">
        <v>16100</v>
      </c>
      <c r="BI1009">
        <v>1</v>
      </c>
      <c r="BJ1009">
        <v>1</v>
      </c>
      <c r="BK1009">
        <v>1</v>
      </c>
      <c r="BL1009">
        <v>0</v>
      </c>
      <c r="BO1009">
        <v>0</v>
      </c>
      <c r="BP1009">
        <v>0</v>
      </c>
      <c r="BW1009" t="str">
        <f>"13:58:53.339"</f>
        <v>13:58:53.339</v>
      </c>
      <c r="CJ1009">
        <v>0</v>
      </c>
      <c r="CK1009">
        <v>2</v>
      </c>
      <c r="CL1009">
        <v>0</v>
      </c>
      <c r="CM1009">
        <v>2</v>
      </c>
      <c r="CN1009">
        <v>0</v>
      </c>
      <c r="CO1009">
        <v>7</v>
      </c>
      <c r="CP1009" t="s">
        <v>119</v>
      </c>
      <c r="CQ1009">
        <v>209</v>
      </c>
      <c r="CR1009">
        <v>3</v>
      </c>
      <c r="CW1009">
        <v>7267127</v>
      </c>
      <c r="CY1009">
        <v>1</v>
      </c>
      <c r="CZ1009">
        <v>0</v>
      </c>
      <c r="DA1009">
        <v>0</v>
      </c>
      <c r="DB1009">
        <v>0</v>
      </c>
      <c r="DC1009">
        <v>0</v>
      </c>
      <c r="DD1009">
        <v>1</v>
      </c>
      <c r="DE1009">
        <v>0</v>
      </c>
      <c r="DF1009">
        <v>0</v>
      </c>
      <c r="DG1009">
        <v>0</v>
      </c>
      <c r="DH1009">
        <v>0</v>
      </c>
      <c r="DI1009">
        <v>0</v>
      </c>
    </row>
    <row r="1010" spans="1:113" x14ac:dyDescent="0.3">
      <c r="A1010" t="str">
        <f>"09/28/2021 13:58:53.559"</f>
        <v>09/28/2021 13:58:53.559</v>
      </c>
      <c r="C1010" t="str">
        <f t="shared" si="50"/>
        <v>FFDFD3C0</v>
      </c>
      <c r="D1010" t="s">
        <v>120</v>
      </c>
      <c r="E1010">
        <v>12</v>
      </c>
      <c r="F1010">
        <v>1012</v>
      </c>
      <c r="G1010" t="s">
        <v>114</v>
      </c>
      <c r="J1010" t="s">
        <v>121</v>
      </c>
      <c r="K1010">
        <v>0</v>
      </c>
      <c r="L1010">
        <v>3</v>
      </c>
      <c r="M1010">
        <v>0</v>
      </c>
      <c r="N1010">
        <v>2</v>
      </c>
      <c r="O1010">
        <v>1</v>
      </c>
      <c r="P1010">
        <v>0</v>
      </c>
      <c r="Q1010">
        <v>0</v>
      </c>
      <c r="S1010" t="str">
        <f>"13:58:53.336"</f>
        <v>13:58:53.336</v>
      </c>
      <c r="T1010" t="str">
        <f>"13:58:52.836"</f>
        <v>13:58:52.836</v>
      </c>
      <c r="U1010" t="str">
        <f t="shared" si="49"/>
        <v>A92BC1</v>
      </c>
      <c r="V1010">
        <v>0</v>
      </c>
      <c r="W1010">
        <v>0</v>
      </c>
      <c r="X1010">
        <v>2</v>
      </c>
      <c r="Z1010">
        <v>0</v>
      </c>
      <c r="AA1010">
        <v>9</v>
      </c>
      <c r="AB1010">
        <v>3</v>
      </c>
      <c r="AC1010">
        <v>0</v>
      </c>
      <c r="AD1010">
        <v>10</v>
      </c>
      <c r="AE1010">
        <v>0</v>
      </c>
      <c r="AF1010">
        <v>3</v>
      </c>
      <c r="AG1010">
        <v>2</v>
      </c>
      <c r="AH1010">
        <v>0</v>
      </c>
      <c r="AI1010" t="s">
        <v>1110</v>
      </c>
      <c r="AJ1010">
        <v>45.881158999999997</v>
      </c>
      <c r="AK1010" t="s">
        <v>1111</v>
      </c>
      <c r="AL1010">
        <v>-89.114528000000007</v>
      </c>
      <c r="AM1010">
        <v>100</v>
      </c>
      <c r="AN1010">
        <v>15600</v>
      </c>
      <c r="AO1010" t="s">
        <v>118</v>
      </c>
      <c r="AP1010">
        <v>163</v>
      </c>
      <c r="AQ1010">
        <v>130</v>
      </c>
      <c r="AR1010">
        <v>0</v>
      </c>
      <c r="AZ1010">
        <v>1200</v>
      </c>
      <c r="BA1010">
        <v>1</v>
      </c>
      <c r="BB1010" t="str">
        <f t="shared" si="51"/>
        <v xml:space="preserve">N690LS  </v>
      </c>
      <c r="BC1010">
        <v>1</v>
      </c>
      <c r="BE1010">
        <v>0</v>
      </c>
      <c r="BF1010">
        <v>0</v>
      </c>
      <c r="BG1010">
        <v>0</v>
      </c>
      <c r="BH1010">
        <v>16100</v>
      </c>
      <c r="BI1010">
        <v>1</v>
      </c>
      <c r="BJ1010">
        <v>1</v>
      </c>
      <c r="BK1010">
        <v>1</v>
      </c>
      <c r="BL1010">
        <v>0</v>
      </c>
      <c r="BO1010">
        <v>0</v>
      </c>
      <c r="BP1010">
        <v>0</v>
      </c>
      <c r="BW1010" t="str">
        <f>"13:58:53.339"</f>
        <v>13:58:53.339</v>
      </c>
      <c r="CJ1010">
        <v>0</v>
      </c>
      <c r="CK1010">
        <v>2</v>
      </c>
      <c r="CL1010">
        <v>0</v>
      </c>
      <c r="CM1010">
        <v>2</v>
      </c>
      <c r="CN1010">
        <v>0</v>
      </c>
      <c r="CO1010">
        <v>7</v>
      </c>
      <c r="CP1010" t="s">
        <v>119</v>
      </c>
      <c r="CQ1010">
        <v>209</v>
      </c>
      <c r="CR1010">
        <v>3</v>
      </c>
      <c r="CW1010">
        <v>7267127</v>
      </c>
      <c r="CY1010">
        <v>1</v>
      </c>
      <c r="CZ1010">
        <v>0</v>
      </c>
      <c r="DA1010">
        <v>1</v>
      </c>
      <c r="DB1010">
        <v>0</v>
      </c>
      <c r="DC1010">
        <v>0</v>
      </c>
      <c r="DD1010">
        <v>1</v>
      </c>
      <c r="DE1010">
        <v>0</v>
      </c>
      <c r="DF1010">
        <v>0</v>
      </c>
      <c r="DG1010">
        <v>0</v>
      </c>
      <c r="DH1010">
        <v>0</v>
      </c>
      <c r="DI1010">
        <v>0</v>
      </c>
    </row>
    <row r="1011" spans="1:113" x14ac:dyDescent="0.3">
      <c r="A1011" t="str">
        <f>"09/28/2021 13:58:54.700"</f>
        <v>09/28/2021 13:58:54.700</v>
      </c>
      <c r="C1011" t="str">
        <f t="shared" si="50"/>
        <v>FFDFD3C0</v>
      </c>
      <c r="D1011" t="s">
        <v>113</v>
      </c>
      <c r="E1011">
        <v>7</v>
      </c>
      <c r="H1011">
        <v>170</v>
      </c>
      <c r="I1011" t="s">
        <v>114</v>
      </c>
      <c r="J1011" t="s">
        <v>115</v>
      </c>
      <c r="K1011">
        <v>0</v>
      </c>
      <c r="L1011">
        <v>3</v>
      </c>
      <c r="M1011">
        <v>0</v>
      </c>
      <c r="N1011">
        <v>2</v>
      </c>
      <c r="O1011">
        <v>1</v>
      </c>
      <c r="P1011">
        <v>0</v>
      </c>
      <c r="Q1011">
        <v>0</v>
      </c>
      <c r="S1011" t="str">
        <f>"13:58:54.500"</f>
        <v>13:58:54.500</v>
      </c>
      <c r="T1011" t="str">
        <f>"13:58:54.000"</f>
        <v>13:58:54.000</v>
      </c>
      <c r="U1011" t="str">
        <f t="shared" si="49"/>
        <v>A92BC1</v>
      </c>
      <c r="V1011">
        <v>0</v>
      </c>
      <c r="W1011">
        <v>0</v>
      </c>
      <c r="X1011">
        <v>2</v>
      </c>
      <c r="Z1011">
        <v>0</v>
      </c>
      <c r="AA1011">
        <v>9</v>
      </c>
      <c r="AB1011">
        <v>3</v>
      </c>
      <c r="AC1011">
        <v>0</v>
      </c>
      <c r="AD1011">
        <v>10</v>
      </c>
      <c r="AE1011">
        <v>0</v>
      </c>
      <c r="AF1011">
        <v>3</v>
      </c>
      <c r="AG1011">
        <v>2</v>
      </c>
      <c r="AH1011">
        <v>0</v>
      </c>
      <c r="AI1011" t="s">
        <v>1112</v>
      </c>
      <c r="AJ1011">
        <v>45.881846000000003</v>
      </c>
      <c r="AK1011" t="s">
        <v>1113</v>
      </c>
      <c r="AL1011">
        <v>-89.113326000000001</v>
      </c>
      <c r="AM1011">
        <v>100</v>
      </c>
      <c r="AN1011">
        <v>15600</v>
      </c>
      <c r="AO1011" t="s">
        <v>118</v>
      </c>
      <c r="AP1011">
        <v>163</v>
      </c>
      <c r="AQ1011">
        <v>131</v>
      </c>
      <c r="AR1011">
        <v>0</v>
      </c>
      <c r="AZ1011">
        <v>1200</v>
      </c>
      <c r="BA1011">
        <v>1</v>
      </c>
      <c r="BB1011" t="str">
        <f t="shared" si="51"/>
        <v xml:space="preserve">N690LS  </v>
      </c>
      <c r="BC1011">
        <v>1</v>
      </c>
      <c r="BE1011">
        <v>0</v>
      </c>
      <c r="BF1011">
        <v>0</v>
      </c>
      <c r="BG1011">
        <v>0</v>
      </c>
      <c r="BH1011">
        <v>16100</v>
      </c>
      <c r="BI1011">
        <v>1</v>
      </c>
      <c r="BJ1011">
        <v>1</v>
      </c>
      <c r="BK1011">
        <v>1</v>
      </c>
      <c r="BL1011">
        <v>0</v>
      </c>
      <c r="BO1011">
        <v>0</v>
      </c>
      <c r="BP1011">
        <v>0</v>
      </c>
      <c r="BW1011" t="str">
        <f>"13:58:54.501"</f>
        <v>13:58:54.501</v>
      </c>
      <c r="CJ1011">
        <v>0</v>
      </c>
      <c r="CK1011">
        <v>2</v>
      </c>
      <c r="CL1011">
        <v>0</v>
      </c>
      <c r="CM1011">
        <v>2</v>
      </c>
      <c r="CN1011">
        <v>0</v>
      </c>
      <c r="CO1011">
        <v>7</v>
      </c>
      <c r="CP1011" t="s">
        <v>119</v>
      </c>
      <c r="CQ1011">
        <v>209</v>
      </c>
      <c r="CR1011">
        <v>3</v>
      </c>
      <c r="CW1011">
        <v>7267539</v>
      </c>
      <c r="CY1011">
        <v>1</v>
      </c>
      <c r="CZ1011">
        <v>0</v>
      </c>
      <c r="DA1011">
        <v>0</v>
      </c>
      <c r="DB1011">
        <v>0</v>
      </c>
      <c r="DC1011">
        <v>0</v>
      </c>
      <c r="DD1011">
        <v>1</v>
      </c>
      <c r="DE1011">
        <v>0</v>
      </c>
      <c r="DF1011">
        <v>0</v>
      </c>
      <c r="DG1011">
        <v>0</v>
      </c>
      <c r="DH1011">
        <v>0</v>
      </c>
      <c r="DI1011">
        <v>0</v>
      </c>
    </row>
    <row r="1012" spans="1:113" x14ac:dyDescent="0.3">
      <c r="A1012" t="str">
        <f>"09/28/2021 13:58:54.747"</f>
        <v>09/28/2021 13:58:54.747</v>
      </c>
      <c r="C1012" t="str">
        <f t="shared" si="50"/>
        <v>FFDFD3C0</v>
      </c>
      <c r="D1012" t="s">
        <v>120</v>
      </c>
      <c r="E1012">
        <v>12</v>
      </c>
      <c r="F1012">
        <v>1012</v>
      </c>
      <c r="G1012" t="s">
        <v>114</v>
      </c>
      <c r="J1012" t="s">
        <v>121</v>
      </c>
      <c r="K1012">
        <v>0</v>
      </c>
      <c r="L1012">
        <v>3</v>
      </c>
      <c r="M1012">
        <v>0</v>
      </c>
      <c r="N1012">
        <v>2</v>
      </c>
      <c r="O1012">
        <v>1</v>
      </c>
      <c r="P1012">
        <v>0</v>
      </c>
      <c r="Q1012">
        <v>0</v>
      </c>
      <c r="S1012" t="str">
        <f>"13:58:54.500"</f>
        <v>13:58:54.500</v>
      </c>
      <c r="T1012" t="str">
        <f>"13:58:54.000"</f>
        <v>13:58:54.000</v>
      </c>
      <c r="U1012" t="str">
        <f t="shared" si="49"/>
        <v>A92BC1</v>
      </c>
      <c r="V1012">
        <v>0</v>
      </c>
      <c r="W1012">
        <v>0</v>
      </c>
      <c r="X1012">
        <v>2</v>
      </c>
      <c r="Z1012">
        <v>0</v>
      </c>
      <c r="AA1012">
        <v>9</v>
      </c>
      <c r="AB1012">
        <v>3</v>
      </c>
      <c r="AC1012">
        <v>0</v>
      </c>
      <c r="AD1012">
        <v>10</v>
      </c>
      <c r="AE1012">
        <v>0</v>
      </c>
      <c r="AF1012">
        <v>3</v>
      </c>
      <c r="AG1012">
        <v>2</v>
      </c>
      <c r="AH1012">
        <v>0</v>
      </c>
      <c r="AI1012" t="s">
        <v>1112</v>
      </c>
      <c r="AJ1012">
        <v>45.881846000000003</v>
      </c>
      <c r="AK1012" t="s">
        <v>1113</v>
      </c>
      <c r="AL1012">
        <v>-89.113326000000001</v>
      </c>
      <c r="AM1012">
        <v>100</v>
      </c>
      <c r="AN1012">
        <v>15600</v>
      </c>
      <c r="AO1012" t="s">
        <v>118</v>
      </c>
      <c r="AP1012">
        <v>163</v>
      </c>
      <c r="AQ1012">
        <v>131</v>
      </c>
      <c r="AR1012">
        <v>0</v>
      </c>
      <c r="AZ1012">
        <v>1200</v>
      </c>
      <c r="BA1012">
        <v>1</v>
      </c>
      <c r="BB1012" t="str">
        <f t="shared" si="51"/>
        <v xml:space="preserve">N690LS  </v>
      </c>
      <c r="BC1012">
        <v>1</v>
      </c>
      <c r="BE1012">
        <v>0</v>
      </c>
      <c r="BF1012">
        <v>0</v>
      </c>
      <c r="BG1012">
        <v>0</v>
      </c>
      <c r="BH1012">
        <v>16100</v>
      </c>
      <c r="BI1012">
        <v>1</v>
      </c>
      <c r="BJ1012">
        <v>1</v>
      </c>
      <c r="BK1012">
        <v>1</v>
      </c>
      <c r="BL1012">
        <v>0</v>
      </c>
      <c r="BO1012">
        <v>0</v>
      </c>
      <c r="BP1012">
        <v>0</v>
      </c>
      <c r="BW1012" t="str">
        <f>"13:58:54.501"</f>
        <v>13:58:54.501</v>
      </c>
      <c r="CJ1012">
        <v>0</v>
      </c>
      <c r="CK1012">
        <v>2</v>
      </c>
      <c r="CL1012">
        <v>0</v>
      </c>
      <c r="CM1012">
        <v>2</v>
      </c>
      <c r="CN1012">
        <v>0</v>
      </c>
      <c r="CO1012">
        <v>7</v>
      </c>
      <c r="CP1012" t="s">
        <v>119</v>
      </c>
      <c r="CQ1012">
        <v>209</v>
      </c>
      <c r="CR1012">
        <v>3</v>
      </c>
      <c r="CW1012">
        <v>7267539</v>
      </c>
      <c r="CY1012">
        <v>1</v>
      </c>
      <c r="CZ1012">
        <v>0</v>
      </c>
      <c r="DA1012">
        <v>1</v>
      </c>
      <c r="DB1012">
        <v>0</v>
      </c>
      <c r="DC1012">
        <v>0</v>
      </c>
      <c r="DD1012">
        <v>1</v>
      </c>
      <c r="DE1012">
        <v>0</v>
      </c>
      <c r="DF1012">
        <v>0</v>
      </c>
      <c r="DG1012">
        <v>0</v>
      </c>
      <c r="DH1012">
        <v>0</v>
      </c>
      <c r="DI1012">
        <v>0</v>
      </c>
    </row>
    <row r="1013" spans="1:113" x14ac:dyDescent="0.3">
      <c r="A1013" t="str">
        <f>"09/28/2021 13:58:55.810"</f>
        <v>09/28/2021 13:58:55.810</v>
      </c>
      <c r="C1013" t="str">
        <f t="shared" si="50"/>
        <v>FFDFD3C0</v>
      </c>
      <c r="D1013" t="s">
        <v>120</v>
      </c>
      <c r="E1013">
        <v>12</v>
      </c>
      <c r="F1013">
        <v>1012</v>
      </c>
      <c r="G1013" t="s">
        <v>114</v>
      </c>
      <c r="J1013" t="s">
        <v>121</v>
      </c>
      <c r="K1013">
        <v>0</v>
      </c>
      <c r="L1013">
        <v>3</v>
      </c>
      <c r="M1013">
        <v>0</v>
      </c>
      <c r="N1013">
        <v>2</v>
      </c>
      <c r="O1013">
        <v>1</v>
      </c>
      <c r="P1013">
        <v>0</v>
      </c>
      <c r="Q1013">
        <v>0</v>
      </c>
      <c r="S1013" t="str">
        <f>"13:58:55.594"</f>
        <v>13:58:55.594</v>
      </c>
      <c r="T1013" t="str">
        <f>"13:58:55.094"</f>
        <v>13:58:55.094</v>
      </c>
      <c r="U1013" t="str">
        <f t="shared" si="49"/>
        <v>A92BC1</v>
      </c>
      <c r="V1013">
        <v>0</v>
      </c>
      <c r="W1013">
        <v>0</v>
      </c>
      <c r="X1013">
        <v>2</v>
      </c>
      <c r="Z1013">
        <v>0</v>
      </c>
      <c r="AA1013">
        <v>9</v>
      </c>
      <c r="AB1013">
        <v>3</v>
      </c>
      <c r="AC1013">
        <v>0</v>
      </c>
      <c r="AD1013">
        <v>10</v>
      </c>
      <c r="AE1013">
        <v>0</v>
      </c>
      <c r="AF1013">
        <v>3</v>
      </c>
      <c r="AG1013">
        <v>2</v>
      </c>
      <c r="AH1013">
        <v>0</v>
      </c>
      <c r="AI1013" t="s">
        <v>1114</v>
      </c>
      <c r="AJ1013">
        <v>45.882468000000003</v>
      </c>
      <c r="AK1013" t="s">
        <v>1115</v>
      </c>
      <c r="AL1013">
        <v>-89.112189000000001</v>
      </c>
      <c r="AM1013">
        <v>100</v>
      </c>
      <c r="AN1013">
        <v>15600</v>
      </c>
      <c r="AO1013" t="s">
        <v>118</v>
      </c>
      <c r="AP1013">
        <v>163</v>
      </c>
      <c r="AQ1013">
        <v>131</v>
      </c>
      <c r="AR1013">
        <v>0</v>
      </c>
      <c r="AZ1013">
        <v>1200</v>
      </c>
      <c r="BA1013">
        <v>1</v>
      </c>
      <c r="BB1013" t="str">
        <f t="shared" si="51"/>
        <v xml:space="preserve">N690LS  </v>
      </c>
      <c r="BC1013">
        <v>1</v>
      </c>
      <c r="BE1013">
        <v>0</v>
      </c>
      <c r="BF1013">
        <v>0</v>
      </c>
      <c r="BG1013">
        <v>0</v>
      </c>
      <c r="BH1013">
        <v>16100</v>
      </c>
      <c r="BI1013">
        <v>1</v>
      </c>
      <c r="BJ1013">
        <v>1</v>
      </c>
      <c r="BK1013">
        <v>1</v>
      </c>
      <c r="BL1013">
        <v>0</v>
      </c>
      <c r="BO1013">
        <v>0</v>
      </c>
      <c r="BP1013">
        <v>0</v>
      </c>
      <c r="BW1013" t="str">
        <f>"13:58:55.600"</f>
        <v>13:58:55.600</v>
      </c>
      <c r="CJ1013">
        <v>0</v>
      </c>
      <c r="CK1013">
        <v>2</v>
      </c>
      <c r="CL1013">
        <v>0</v>
      </c>
      <c r="CM1013">
        <v>2</v>
      </c>
      <c r="CN1013">
        <v>0</v>
      </c>
      <c r="CO1013">
        <v>7</v>
      </c>
      <c r="CP1013" t="s">
        <v>119</v>
      </c>
      <c r="CQ1013">
        <v>197</v>
      </c>
      <c r="CR1013">
        <v>0</v>
      </c>
      <c r="CW1013">
        <v>16086191</v>
      </c>
      <c r="CY1013">
        <v>1</v>
      </c>
      <c r="CZ1013">
        <v>0</v>
      </c>
      <c r="DA1013">
        <v>0</v>
      </c>
      <c r="DB1013">
        <v>0</v>
      </c>
      <c r="DC1013">
        <v>0</v>
      </c>
      <c r="DD1013">
        <v>1</v>
      </c>
      <c r="DE1013">
        <v>0</v>
      </c>
      <c r="DF1013">
        <v>0</v>
      </c>
      <c r="DG1013">
        <v>0</v>
      </c>
      <c r="DH1013">
        <v>0</v>
      </c>
      <c r="DI1013">
        <v>0</v>
      </c>
    </row>
    <row r="1014" spans="1:113" x14ac:dyDescent="0.3">
      <c r="A1014" t="str">
        <f>"09/28/2021 13:58:55.872"</f>
        <v>09/28/2021 13:58:55.872</v>
      </c>
      <c r="C1014" t="str">
        <f t="shared" si="50"/>
        <v>FFDFD3C0</v>
      </c>
      <c r="D1014" t="s">
        <v>113</v>
      </c>
      <c r="E1014">
        <v>7</v>
      </c>
      <c r="H1014">
        <v>170</v>
      </c>
      <c r="I1014" t="s">
        <v>114</v>
      </c>
      <c r="J1014" t="s">
        <v>115</v>
      </c>
      <c r="K1014">
        <v>0</v>
      </c>
      <c r="L1014">
        <v>3</v>
      </c>
      <c r="M1014">
        <v>0</v>
      </c>
      <c r="N1014">
        <v>2</v>
      </c>
      <c r="O1014">
        <v>1</v>
      </c>
      <c r="P1014">
        <v>0</v>
      </c>
      <c r="Q1014">
        <v>0</v>
      </c>
      <c r="S1014" t="str">
        <f>"13:58:55.594"</f>
        <v>13:58:55.594</v>
      </c>
      <c r="T1014" t="str">
        <f>"13:58:55.094"</f>
        <v>13:58:55.094</v>
      </c>
      <c r="U1014" t="str">
        <f t="shared" si="49"/>
        <v>A92BC1</v>
      </c>
      <c r="V1014">
        <v>0</v>
      </c>
      <c r="W1014">
        <v>0</v>
      </c>
      <c r="X1014">
        <v>2</v>
      </c>
      <c r="Z1014">
        <v>0</v>
      </c>
      <c r="AA1014">
        <v>9</v>
      </c>
      <c r="AB1014">
        <v>3</v>
      </c>
      <c r="AC1014">
        <v>0</v>
      </c>
      <c r="AD1014">
        <v>10</v>
      </c>
      <c r="AE1014">
        <v>0</v>
      </c>
      <c r="AF1014">
        <v>3</v>
      </c>
      <c r="AG1014">
        <v>2</v>
      </c>
      <c r="AH1014">
        <v>0</v>
      </c>
      <c r="AI1014" t="s">
        <v>1114</v>
      </c>
      <c r="AJ1014">
        <v>45.882468000000003</v>
      </c>
      <c r="AK1014" t="s">
        <v>1115</v>
      </c>
      <c r="AL1014">
        <v>-89.112189000000001</v>
      </c>
      <c r="AM1014">
        <v>100</v>
      </c>
      <c r="AN1014">
        <v>15600</v>
      </c>
      <c r="AO1014" t="s">
        <v>118</v>
      </c>
      <c r="AP1014">
        <v>163</v>
      </c>
      <c r="AQ1014">
        <v>131</v>
      </c>
      <c r="AR1014">
        <v>0</v>
      </c>
      <c r="AZ1014">
        <v>1200</v>
      </c>
      <c r="BA1014">
        <v>1</v>
      </c>
      <c r="BB1014" t="str">
        <f t="shared" si="51"/>
        <v xml:space="preserve">N690LS  </v>
      </c>
      <c r="BC1014">
        <v>1</v>
      </c>
      <c r="BE1014">
        <v>0</v>
      </c>
      <c r="BF1014">
        <v>0</v>
      </c>
      <c r="BG1014">
        <v>0</v>
      </c>
      <c r="BH1014">
        <v>16100</v>
      </c>
      <c r="BI1014">
        <v>1</v>
      </c>
      <c r="BJ1014">
        <v>1</v>
      </c>
      <c r="BK1014">
        <v>1</v>
      </c>
      <c r="BL1014">
        <v>0</v>
      </c>
      <c r="BO1014">
        <v>0</v>
      </c>
      <c r="BP1014">
        <v>0</v>
      </c>
      <c r="BW1014" t="str">
        <f>"13:58:55.600"</f>
        <v>13:58:55.600</v>
      </c>
      <c r="CJ1014">
        <v>0</v>
      </c>
      <c r="CK1014">
        <v>2</v>
      </c>
      <c r="CL1014">
        <v>0</v>
      </c>
      <c r="CM1014">
        <v>2</v>
      </c>
      <c r="CN1014">
        <v>0</v>
      </c>
      <c r="CO1014">
        <v>7</v>
      </c>
      <c r="CP1014" t="s">
        <v>119</v>
      </c>
      <c r="CQ1014">
        <v>197</v>
      </c>
      <c r="CR1014">
        <v>0</v>
      </c>
      <c r="CW1014">
        <v>16086191</v>
      </c>
      <c r="CY1014">
        <v>1</v>
      </c>
      <c r="CZ1014">
        <v>0</v>
      </c>
      <c r="DA1014">
        <v>1</v>
      </c>
      <c r="DB1014">
        <v>0</v>
      </c>
      <c r="DC1014">
        <v>0</v>
      </c>
      <c r="DD1014">
        <v>1</v>
      </c>
      <c r="DE1014">
        <v>0</v>
      </c>
      <c r="DF1014">
        <v>0</v>
      </c>
      <c r="DG1014">
        <v>0</v>
      </c>
      <c r="DH1014">
        <v>0</v>
      </c>
      <c r="DI1014">
        <v>0</v>
      </c>
    </row>
    <row r="1015" spans="1:113" x14ac:dyDescent="0.3">
      <c r="A1015" t="str">
        <f>"09/28/2021 13:58:56.824"</f>
        <v>09/28/2021 13:58:56.824</v>
      </c>
      <c r="C1015" t="str">
        <f t="shared" si="50"/>
        <v>FFDFD3C0</v>
      </c>
      <c r="D1015" t="s">
        <v>113</v>
      </c>
      <c r="E1015">
        <v>7</v>
      </c>
      <c r="H1015">
        <v>170</v>
      </c>
      <c r="I1015" t="s">
        <v>114</v>
      </c>
      <c r="J1015" t="s">
        <v>115</v>
      </c>
      <c r="K1015">
        <v>0</v>
      </c>
      <c r="L1015">
        <v>3</v>
      </c>
      <c r="M1015">
        <v>0</v>
      </c>
      <c r="N1015">
        <v>2</v>
      </c>
      <c r="O1015">
        <v>1</v>
      </c>
      <c r="P1015">
        <v>0</v>
      </c>
      <c r="Q1015">
        <v>0</v>
      </c>
      <c r="S1015" t="str">
        <f>"13:58:56.555"</f>
        <v>13:58:56.555</v>
      </c>
      <c r="T1015" t="str">
        <f>"13:58:56.055"</f>
        <v>13:58:56.055</v>
      </c>
      <c r="U1015" t="str">
        <f t="shared" si="49"/>
        <v>A92BC1</v>
      </c>
      <c r="V1015">
        <v>0</v>
      </c>
      <c r="W1015">
        <v>0</v>
      </c>
      <c r="X1015">
        <v>2</v>
      </c>
      <c r="Z1015">
        <v>0</v>
      </c>
      <c r="AA1015">
        <v>9</v>
      </c>
      <c r="AB1015">
        <v>3</v>
      </c>
      <c r="AC1015">
        <v>0</v>
      </c>
      <c r="AD1015">
        <v>10</v>
      </c>
      <c r="AE1015">
        <v>0</v>
      </c>
      <c r="AF1015">
        <v>3</v>
      </c>
      <c r="AG1015">
        <v>2</v>
      </c>
      <c r="AH1015">
        <v>0</v>
      </c>
      <c r="AI1015" t="s">
        <v>1116</v>
      </c>
      <c r="AJ1015">
        <v>45.883068999999999</v>
      </c>
      <c r="AK1015" t="s">
        <v>1117</v>
      </c>
      <c r="AL1015">
        <v>-89.111115999999996</v>
      </c>
      <c r="AM1015">
        <v>100</v>
      </c>
      <c r="AN1015">
        <v>15600</v>
      </c>
      <c r="AO1015" t="s">
        <v>118</v>
      </c>
      <c r="AP1015">
        <v>163</v>
      </c>
      <c r="AQ1015">
        <v>130</v>
      </c>
      <c r="AR1015">
        <v>0</v>
      </c>
      <c r="AZ1015">
        <v>1200</v>
      </c>
      <c r="BA1015">
        <v>1</v>
      </c>
      <c r="BB1015" t="str">
        <f t="shared" si="51"/>
        <v xml:space="preserve">N690LS  </v>
      </c>
      <c r="BC1015">
        <v>1</v>
      </c>
      <c r="BE1015">
        <v>0</v>
      </c>
      <c r="BF1015">
        <v>0</v>
      </c>
      <c r="BG1015">
        <v>0</v>
      </c>
      <c r="BH1015">
        <v>16100</v>
      </c>
      <c r="BI1015">
        <v>1</v>
      </c>
      <c r="BJ1015">
        <v>1</v>
      </c>
      <c r="BK1015">
        <v>1</v>
      </c>
      <c r="BL1015">
        <v>0</v>
      </c>
      <c r="BO1015">
        <v>0</v>
      </c>
      <c r="BP1015">
        <v>0</v>
      </c>
      <c r="BW1015" t="str">
        <f>"13:58:56.557"</f>
        <v>13:58:56.557</v>
      </c>
      <c r="CJ1015">
        <v>0</v>
      </c>
      <c r="CK1015">
        <v>2</v>
      </c>
      <c r="CL1015">
        <v>0</v>
      </c>
      <c r="CM1015">
        <v>2</v>
      </c>
      <c r="CN1015">
        <v>0</v>
      </c>
      <c r="CO1015">
        <v>7</v>
      </c>
      <c r="CP1015" t="s">
        <v>119</v>
      </c>
      <c r="CQ1015">
        <v>209</v>
      </c>
      <c r="CR1015">
        <v>3</v>
      </c>
      <c r="CW1015">
        <v>7268254</v>
      </c>
      <c r="CY1015">
        <v>1</v>
      </c>
      <c r="CZ1015">
        <v>0</v>
      </c>
      <c r="DA1015">
        <v>0</v>
      </c>
      <c r="DB1015">
        <v>0</v>
      </c>
      <c r="DC1015">
        <v>0</v>
      </c>
      <c r="DD1015">
        <v>1</v>
      </c>
      <c r="DE1015">
        <v>0</v>
      </c>
      <c r="DF1015">
        <v>0</v>
      </c>
      <c r="DG1015">
        <v>0</v>
      </c>
      <c r="DH1015">
        <v>0</v>
      </c>
      <c r="DI1015">
        <v>0</v>
      </c>
    </row>
    <row r="1016" spans="1:113" x14ac:dyDescent="0.3">
      <c r="A1016" t="str">
        <f>"09/28/2021 13:58:56.824"</f>
        <v>09/28/2021 13:58:56.824</v>
      </c>
      <c r="C1016" t="str">
        <f t="shared" si="50"/>
        <v>FFDFD3C0</v>
      </c>
      <c r="D1016" t="s">
        <v>120</v>
      </c>
      <c r="E1016">
        <v>12</v>
      </c>
      <c r="F1016">
        <v>1012</v>
      </c>
      <c r="G1016" t="s">
        <v>114</v>
      </c>
      <c r="J1016" t="s">
        <v>121</v>
      </c>
      <c r="K1016">
        <v>0</v>
      </c>
      <c r="L1016">
        <v>3</v>
      </c>
      <c r="M1016">
        <v>0</v>
      </c>
      <c r="N1016">
        <v>2</v>
      </c>
      <c r="O1016">
        <v>1</v>
      </c>
      <c r="P1016">
        <v>0</v>
      </c>
      <c r="Q1016">
        <v>0</v>
      </c>
      <c r="S1016" t="str">
        <f>"13:58:56.555"</f>
        <v>13:58:56.555</v>
      </c>
      <c r="T1016" t="str">
        <f>"13:58:56.055"</f>
        <v>13:58:56.055</v>
      </c>
      <c r="U1016" t="str">
        <f t="shared" si="49"/>
        <v>A92BC1</v>
      </c>
      <c r="V1016">
        <v>0</v>
      </c>
      <c r="W1016">
        <v>0</v>
      </c>
      <c r="X1016">
        <v>2</v>
      </c>
      <c r="Z1016">
        <v>0</v>
      </c>
      <c r="AA1016">
        <v>9</v>
      </c>
      <c r="AB1016">
        <v>3</v>
      </c>
      <c r="AC1016">
        <v>0</v>
      </c>
      <c r="AD1016">
        <v>10</v>
      </c>
      <c r="AE1016">
        <v>0</v>
      </c>
      <c r="AF1016">
        <v>3</v>
      </c>
      <c r="AG1016">
        <v>2</v>
      </c>
      <c r="AH1016">
        <v>0</v>
      </c>
      <c r="AI1016" t="s">
        <v>1116</v>
      </c>
      <c r="AJ1016">
        <v>45.883068999999999</v>
      </c>
      <c r="AK1016" t="s">
        <v>1117</v>
      </c>
      <c r="AL1016">
        <v>-89.111115999999996</v>
      </c>
      <c r="AM1016">
        <v>100</v>
      </c>
      <c r="AN1016">
        <v>15600</v>
      </c>
      <c r="AO1016" t="s">
        <v>118</v>
      </c>
      <c r="AP1016">
        <v>163</v>
      </c>
      <c r="AQ1016">
        <v>130</v>
      </c>
      <c r="AR1016">
        <v>0</v>
      </c>
      <c r="AZ1016">
        <v>1200</v>
      </c>
      <c r="BA1016">
        <v>1</v>
      </c>
      <c r="BB1016" t="str">
        <f t="shared" si="51"/>
        <v xml:space="preserve">N690LS  </v>
      </c>
      <c r="BC1016">
        <v>1</v>
      </c>
      <c r="BE1016">
        <v>0</v>
      </c>
      <c r="BF1016">
        <v>0</v>
      </c>
      <c r="BG1016">
        <v>0</v>
      </c>
      <c r="BH1016">
        <v>16100</v>
      </c>
      <c r="BI1016">
        <v>1</v>
      </c>
      <c r="BJ1016">
        <v>1</v>
      </c>
      <c r="BK1016">
        <v>1</v>
      </c>
      <c r="BL1016">
        <v>0</v>
      </c>
      <c r="BO1016">
        <v>0</v>
      </c>
      <c r="BP1016">
        <v>0</v>
      </c>
      <c r="BW1016" t="str">
        <f>"13:58:56.557"</f>
        <v>13:58:56.557</v>
      </c>
      <c r="CJ1016">
        <v>0</v>
      </c>
      <c r="CK1016">
        <v>2</v>
      </c>
      <c r="CL1016">
        <v>0</v>
      </c>
      <c r="CM1016">
        <v>2</v>
      </c>
      <c r="CN1016">
        <v>0</v>
      </c>
      <c r="CO1016">
        <v>7</v>
      </c>
      <c r="CP1016" t="s">
        <v>119</v>
      </c>
      <c r="CQ1016">
        <v>209</v>
      </c>
      <c r="CR1016">
        <v>3</v>
      </c>
      <c r="CW1016">
        <v>7268254</v>
      </c>
      <c r="CY1016">
        <v>1</v>
      </c>
      <c r="CZ1016">
        <v>0</v>
      </c>
      <c r="DA1016">
        <v>1</v>
      </c>
      <c r="DB1016">
        <v>0</v>
      </c>
      <c r="DC1016">
        <v>0</v>
      </c>
      <c r="DD1016">
        <v>1</v>
      </c>
      <c r="DE1016">
        <v>0</v>
      </c>
      <c r="DF1016">
        <v>0</v>
      </c>
      <c r="DG1016">
        <v>0</v>
      </c>
      <c r="DH1016">
        <v>0</v>
      </c>
      <c r="DI1016">
        <v>0</v>
      </c>
    </row>
    <row r="1017" spans="1:113" x14ac:dyDescent="0.3">
      <c r="A1017" t="str">
        <f>"09/28/2021 13:58:57.855"</f>
        <v>09/28/2021 13:58:57.855</v>
      </c>
      <c r="C1017" t="str">
        <f t="shared" si="50"/>
        <v>FFDFD3C0</v>
      </c>
      <c r="D1017" t="s">
        <v>120</v>
      </c>
      <c r="E1017">
        <v>12</v>
      </c>
      <c r="F1017">
        <v>1012</v>
      </c>
      <c r="G1017" t="s">
        <v>114</v>
      </c>
      <c r="J1017" t="s">
        <v>121</v>
      </c>
      <c r="K1017">
        <v>0</v>
      </c>
      <c r="L1017">
        <v>3</v>
      </c>
      <c r="M1017">
        <v>0</v>
      </c>
      <c r="N1017">
        <v>2</v>
      </c>
      <c r="O1017">
        <v>1</v>
      </c>
      <c r="P1017">
        <v>0</v>
      </c>
      <c r="Q1017">
        <v>0</v>
      </c>
      <c r="S1017" t="str">
        <f>"13:58:57.641"</f>
        <v>13:58:57.641</v>
      </c>
      <c r="T1017" t="str">
        <f>"13:58:57.141"</f>
        <v>13:58:57.141</v>
      </c>
      <c r="U1017" t="str">
        <f t="shared" si="49"/>
        <v>A92BC1</v>
      </c>
      <c r="V1017">
        <v>0</v>
      </c>
      <c r="W1017">
        <v>0</v>
      </c>
      <c r="X1017">
        <v>2</v>
      </c>
      <c r="Z1017">
        <v>0</v>
      </c>
      <c r="AA1017">
        <v>9</v>
      </c>
      <c r="AB1017">
        <v>3</v>
      </c>
      <c r="AC1017">
        <v>0</v>
      </c>
      <c r="AD1017">
        <v>10</v>
      </c>
      <c r="AE1017">
        <v>0</v>
      </c>
      <c r="AF1017">
        <v>3</v>
      </c>
      <c r="AG1017">
        <v>2</v>
      </c>
      <c r="AH1017">
        <v>0</v>
      </c>
      <c r="AI1017" t="s">
        <v>1118</v>
      </c>
      <c r="AJ1017">
        <v>45.883755999999998</v>
      </c>
      <c r="AK1017" t="s">
        <v>1119</v>
      </c>
      <c r="AL1017">
        <v>-89.109893</v>
      </c>
      <c r="AM1017">
        <v>100</v>
      </c>
      <c r="AN1017">
        <v>15600</v>
      </c>
      <c r="AO1017" t="s">
        <v>118</v>
      </c>
      <c r="AP1017">
        <v>162</v>
      </c>
      <c r="AQ1017">
        <v>130</v>
      </c>
      <c r="AR1017">
        <v>0</v>
      </c>
      <c r="AZ1017">
        <v>1200</v>
      </c>
      <c r="BA1017">
        <v>1</v>
      </c>
      <c r="BB1017" t="str">
        <f t="shared" si="51"/>
        <v xml:space="preserve">N690LS  </v>
      </c>
      <c r="BC1017">
        <v>1</v>
      </c>
      <c r="BE1017">
        <v>0</v>
      </c>
      <c r="BF1017">
        <v>0</v>
      </c>
      <c r="BG1017">
        <v>0</v>
      </c>
      <c r="BH1017">
        <v>16100</v>
      </c>
      <c r="BI1017">
        <v>1</v>
      </c>
      <c r="BJ1017">
        <v>1</v>
      </c>
      <c r="BK1017">
        <v>1</v>
      </c>
      <c r="BL1017">
        <v>0</v>
      </c>
      <c r="BO1017">
        <v>0</v>
      </c>
      <c r="BP1017">
        <v>0</v>
      </c>
      <c r="BW1017" t="str">
        <f>"13:58:57.643"</f>
        <v>13:58:57.643</v>
      </c>
      <c r="CJ1017">
        <v>0</v>
      </c>
      <c r="CK1017">
        <v>2</v>
      </c>
      <c r="CL1017">
        <v>0</v>
      </c>
      <c r="CM1017">
        <v>2</v>
      </c>
      <c r="CN1017">
        <v>0</v>
      </c>
      <c r="CO1017">
        <v>7</v>
      </c>
      <c r="CP1017" t="s">
        <v>119</v>
      </c>
      <c r="CQ1017">
        <v>209</v>
      </c>
      <c r="CR1017">
        <v>3</v>
      </c>
      <c r="CW1017">
        <v>7268605</v>
      </c>
      <c r="CY1017">
        <v>1</v>
      </c>
      <c r="CZ1017">
        <v>0</v>
      </c>
      <c r="DA1017">
        <v>0</v>
      </c>
      <c r="DB1017">
        <v>0</v>
      </c>
      <c r="DC1017">
        <v>0</v>
      </c>
      <c r="DD1017">
        <v>1</v>
      </c>
      <c r="DE1017">
        <v>0</v>
      </c>
      <c r="DF1017">
        <v>0</v>
      </c>
      <c r="DG1017">
        <v>0</v>
      </c>
      <c r="DH1017">
        <v>0</v>
      </c>
      <c r="DI1017">
        <v>0</v>
      </c>
    </row>
    <row r="1018" spans="1:113" x14ac:dyDescent="0.3">
      <c r="A1018" t="str">
        <f>"09/28/2021 13:58:57.855"</f>
        <v>09/28/2021 13:58:57.855</v>
      </c>
      <c r="C1018" t="str">
        <f t="shared" si="50"/>
        <v>FFDFD3C0</v>
      </c>
      <c r="D1018" t="s">
        <v>113</v>
      </c>
      <c r="E1018">
        <v>7</v>
      </c>
      <c r="H1018">
        <v>170</v>
      </c>
      <c r="I1018" t="s">
        <v>114</v>
      </c>
      <c r="J1018" t="s">
        <v>115</v>
      </c>
      <c r="K1018">
        <v>0</v>
      </c>
      <c r="L1018">
        <v>3</v>
      </c>
      <c r="M1018">
        <v>0</v>
      </c>
      <c r="N1018">
        <v>2</v>
      </c>
      <c r="O1018">
        <v>1</v>
      </c>
      <c r="P1018">
        <v>0</v>
      </c>
      <c r="Q1018">
        <v>0</v>
      </c>
      <c r="S1018" t="str">
        <f>"13:58:57.641"</f>
        <v>13:58:57.641</v>
      </c>
      <c r="T1018" t="str">
        <f>"13:58:57.141"</f>
        <v>13:58:57.141</v>
      </c>
      <c r="U1018" t="str">
        <f t="shared" si="49"/>
        <v>A92BC1</v>
      </c>
      <c r="V1018">
        <v>0</v>
      </c>
      <c r="W1018">
        <v>0</v>
      </c>
      <c r="X1018">
        <v>2</v>
      </c>
      <c r="Z1018">
        <v>0</v>
      </c>
      <c r="AA1018">
        <v>9</v>
      </c>
      <c r="AB1018">
        <v>3</v>
      </c>
      <c r="AC1018">
        <v>0</v>
      </c>
      <c r="AD1018">
        <v>10</v>
      </c>
      <c r="AE1018">
        <v>0</v>
      </c>
      <c r="AF1018">
        <v>3</v>
      </c>
      <c r="AG1018">
        <v>2</v>
      </c>
      <c r="AH1018">
        <v>0</v>
      </c>
      <c r="AI1018" t="s">
        <v>1118</v>
      </c>
      <c r="AJ1018">
        <v>45.883755999999998</v>
      </c>
      <c r="AK1018" t="s">
        <v>1119</v>
      </c>
      <c r="AL1018">
        <v>-89.109893</v>
      </c>
      <c r="AM1018">
        <v>100</v>
      </c>
      <c r="AN1018">
        <v>15600</v>
      </c>
      <c r="AO1018" t="s">
        <v>118</v>
      </c>
      <c r="AP1018">
        <v>162</v>
      </c>
      <c r="AQ1018">
        <v>130</v>
      </c>
      <c r="AR1018">
        <v>0</v>
      </c>
      <c r="AZ1018">
        <v>1200</v>
      </c>
      <c r="BA1018">
        <v>1</v>
      </c>
      <c r="BB1018" t="str">
        <f t="shared" si="51"/>
        <v xml:space="preserve">N690LS  </v>
      </c>
      <c r="BC1018">
        <v>1</v>
      </c>
      <c r="BE1018">
        <v>0</v>
      </c>
      <c r="BF1018">
        <v>0</v>
      </c>
      <c r="BG1018">
        <v>0</v>
      </c>
      <c r="BH1018">
        <v>16100</v>
      </c>
      <c r="BI1018">
        <v>1</v>
      </c>
      <c r="BJ1018">
        <v>1</v>
      </c>
      <c r="BK1018">
        <v>1</v>
      </c>
      <c r="BL1018">
        <v>0</v>
      </c>
      <c r="BO1018">
        <v>0</v>
      </c>
      <c r="BP1018">
        <v>0</v>
      </c>
      <c r="BW1018" t="str">
        <f>"13:58:57.643"</f>
        <v>13:58:57.643</v>
      </c>
      <c r="CJ1018">
        <v>0</v>
      </c>
      <c r="CK1018">
        <v>2</v>
      </c>
      <c r="CL1018">
        <v>0</v>
      </c>
      <c r="CM1018">
        <v>2</v>
      </c>
      <c r="CN1018">
        <v>0</v>
      </c>
      <c r="CO1018">
        <v>7</v>
      </c>
      <c r="CP1018" t="s">
        <v>119</v>
      </c>
      <c r="CQ1018">
        <v>209</v>
      </c>
      <c r="CR1018">
        <v>3</v>
      </c>
      <c r="CW1018">
        <v>7268605</v>
      </c>
      <c r="CY1018">
        <v>1</v>
      </c>
      <c r="CZ1018">
        <v>0</v>
      </c>
      <c r="DA1018">
        <v>1</v>
      </c>
      <c r="DB1018">
        <v>0</v>
      </c>
      <c r="DC1018">
        <v>0</v>
      </c>
      <c r="DD1018">
        <v>1</v>
      </c>
      <c r="DE1018">
        <v>0</v>
      </c>
      <c r="DF1018">
        <v>0</v>
      </c>
      <c r="DG1018">
        <v>0</v>
      </c>
      <c r="DH1018">
        <v>0</v>
      </c>
      <c r="DI1018">
        <v>0</v>
      </c>
    </row>
    <row r="1019" spans="1:113" x14ac:dyDescent="0.3">
      <c r="A1019" t="str">
        <f>"09/28/2021 13:58:58.980"</f>
        <v>09/28/2021 13:58:58.980</v>
      </c>
      <c r="C1019" t="str">
        <f t="shared" si="50"/>
        <v>FFDFD3C0</v>
      </c>
      <c r="D1019" t="s">
        <v>113</v>
      </c>
      <c r="E1019">
        <v>7</v>
      </c>
      <c r="H1019">
        <v>170</v>
      </c>
      <c r="I1019" t="s">
        <v>114</v>
      </c>
      <c r="J1019" t="s">
        <v>115</v>
      </c>
      <c r="K1019">
        <v>0</v>
      </c>
      <c r="L1019">
        <v>3</v>
      </c>
      <c r="M1019">
        <v>0</v>
      </c>
      <c r="N1019">
        <v>2</v>
      </c>
      <c r="O1019">
        <v>1</v>
      </c>
      <c r="P1019">
        <v>0</v>
      </c>
      <c r="Q1019">
        <v>0</v>
      </c>
      <c r="S1019" t="str">
        <f>"13:58:58.711"</f>
        <v>13:58:58.711</v>
      </c>
      <c r="T1019" t="str">
        <f>"13:58:58.211"</f>
        <v>13:58:58.211</v>
      </c>
      <c r="U1019" t="str">
        <f t="shared" si="49"/>
        <v>A92BC1</v>
      </c>
      <c r="V1019">
        <v>0</v>
      </c>
      <c r="W1019">
        <v>0</v>
      </c>
      <c r="X1019">
        <v>2</v>
      </c>
      <c r="Z1019">
        <v>0</v>
      </c>
      <c r="AA1019">
        <v>9</v>
      </c>
      <c r="AB1019">
        <v>3</v>
      </c>
      <c r="AC1019">
        <v>0</v>
      </c>
      <c r="AD1019">
        <v>10</v>
      </c>
      <c r="AE1019">
        <v>0</v>
      </c>
      <c r="AF1019">
        <v>3</v>
      </c>
      <c r="AG1019">
        <v>2</v>
      </c>
      <c r="AH1019">
        <v>0</v>
      </c>
      <c r="AI1019" t="s">
        <v>1120</v>
      </c>
      <c r="AJ1019">
        <v>45.884355999999997</v>
      </c>
      <c r="AK1019" t="s">
        <v>1121</v>
      </c>
      <c r="AL1019">
        <v>-89.108799000000005</v>
      </c>
      <c r="AM1019">
        <v>100</v>
      </c>
      <c r="AN1019">
        <v>15600</v>
      </c>
      <c r="AO1019" t="s">
        <v>118</v>
      </c>
      <c r="AP1019">
        <v>162</v>
      </c>
      <c r="AQ1019">
        <v>130</v>
      </c>
      <c r="AR1019">
        <v>0</v>
      </c>
      <c r="AZ1019">
        <v>1200</v>
      </c>
      <c r="BA1019">
        <v>1</v>
      </c>
      <c r="BB1019" t="str">
        <f t="shared" si="51"/>
        <v xml:space="preserve">N690LS  </v>
      </c>
      <c r="BC1019">
        <v>1</v>
      </c>
      <c r="BE1019">
        <v>0</v>
      </c>
      <c r="BF1019">
        <v>0</v>
      </c>
      <c r="BG1019">
        <v>0</v>
      </c>
      <c r="BH1019">
        <v>16100</v>
      </c>
      <c r="BI1019">
        <v>1</v>
      </c>
      <c r="BJ1019">
        <v>1</v>
      </c>
      <c r="BK1019">
        <v>1</v>
      </c>
      <c r="BL1019">
        <v>0</v>
      </c>
      <c r="BO1019">
        <v>0</v>
      </c>
      <c r="BP1019">
        <v>0</v>
      </c>
      <c r="BW1019" t="str">
        <f>"13:58:58.718"</f>
        <v>13:58:58.718</v>
      </c>
      <c r="CJ1019">
        <v>0</v>
      </c>
      <c r="CK1019">
        <v>2</v>
      </c>
      <c r="CL1019">
        <v>0</v>
      </c>
      <c r="CM1019">
        <v>2</v>
      </c>
      <c r="CN1019">
        <v>0</v>
      </c>
      <c r="CO1019">
        <v>6</v>
      </c>
      <c r="CP1019" t="s">
        <v>119</v>
      </c>
      <c r="CQ1019">
        <v>210</v>
      </c>
      <c r="CR1019">
        <v>2</v>
      </c>
      <c r="CW1019">
        <v>2418420</v>
      </c>
      <c r="CY1019">
        <v>1</v>
      </c>
      <c r="CZ1019">
        <v>0</v>
      </c>
      <c r="DA1019">
        <v>0</v>
      </c>
      <c r="DB1019">
        <v>0</v>
      </c>
      <c r="DC1019">
        <v>0</v>
      </c>
      <c r="DD1019">
        <v>1</v>
      </c>
      <c r="DE1019">
        <v>0</v>
      </c>
      <c r="DF1019">
        <v>0</v>
      </c>
      <c r="DG1019">
        <v>0</v>
      </c>
      <c r="DH1019">
        <v>0</v>
      </c>
      <c r="DI1019">
        <v>0</v>
      </c>
    </row>
    <row r="1020" spans="1:113" x14ac:dyDescent="0.3">
      <c r="A1020" t="str">
        <f>"09/28/2021 13:58:58.980"</f>
        <v>09/28/2021 13:58:58.980</v>
      </c>
      <c r="C1020" t="str">
        <f t="shared" si="50"/>
        <v>FFDFD3C0</v>
      </c>
      <c r="D1020" t="s">
        <v>120</v>
      </c>
      <c r="E1020">
        <v>12</v>
      </c>
      <c r="F1020">
        <v>1012</v>
      </c>
      <c r="G1020" t="s">
        <v>114</v>
      </c>
      <c r="J1020" t="s">
        <v>121</v>
      </c>
      <c r="K1020">
        <v>0</v>
      </c>
      <c r="L1020">
        <v>3</v>
      </c>
      <c r="M1020">
        <v>0</v>
      </c>
      <c r="N1020">
        <v>2</v>
      </c>
      <c r="O1020">
        <v>1</v>
      </c>
      <c r="P1020">
        <v>0</v>
      </c>
      <c r="Q1020">
        <v>0</v>
      </c>
      <c r="S1020" t="str">
        <f>"13:58:58.711"</f>
        <v>13:58:58.711</v>
      </c>
      <c r="T1020" t="str">
        <f>"13:58:58.211"</f>
        <v>13:58:58.211</v>
      </c>
      <c r="U1020" t="str">
        <f t="shared" si="49"/>
        <v>A92BC1</v>
      </c>
      <c r="V1020">
        <v>0</v>
      </c>
      <c r="W1020">
        <v>0</v>
      </c>
      <c r="X1020">
        <v>2</v>
      </c>
      <c r="Z1020">
        <v>0</v>
      </c>
      <c r="AA1020">
        <v>9</v>
      </c>
      <c r="AB1020">
        <v>3</v>
      </c>
      <c r="AC1020">
        <v>0</v>
      </c>
      <c r="AD1020">
        <v>10</v>
      </c>
      <c r="AE1020">
        <v>0</v>
      </c>
      <c r="AF1020">
        <v>3</v>
      </c>
      <c r="AG1020">
        <v>2</v>
      </c>
      <c r="AH1020">
        <v>0</v>
      </c>
      <c r="AI1020" t="s">
        <v>1120</v>
      </c>
      <c r="AJ1020">
        <v>45.884355999999997</v>
      </c>
      <c r="AK1020" t="s">
        <v>1121</v>
      </c>
      <c r="AL1020">
        <v>-89.108799000000005</v>
      </c>
      <c r="AM1020">
        <v>100</v>
      </c>
      <c r="AN1020">
        <v>15600</v>
      </c>
      <c r="AO1020" t="s">
        <v>118</v>
      </c>
      <c r="AP1020">
        <v>162</v>
      </c>
      <c r="AQ1020">
        <v>130</v>
      </c>
      <c r="AR1020">
        <v>0</v>
      </c>
      <c r="AZ1020">
        <v>1200</v>
      </c>
      <c r="BA1020">
        <v>1</v>
      </c>
      <c r="BB1020" t="str">
        <f t="shared" si="51"/>
        <v xml:space="preserve">N690LS  </v>
      </c>
      <c r="BC1020">
        <v>1</v>
      </c>
      <c r="BE1020">
        <v>0</v>
      </c>
      <c r="BF1020">
        <v>0</v>
      </c>
      <c r="BG1020">
        <v>0</v>
      </c>
      <c r="BH1020">
        <v>16100</v>
      </c>
      <c r="BI1020">
        <v>1</v>
      </c>
      <c r="BJ1020">
        <v>1</v>
      </c>
      <c r="BK1020">
        <v>1</v>
      </c>
      <c r="BL1020">
        <v>0</v>
      </c>
      <c r="BO1020">
        <v>0</v>
      </c>
      <c r="BP1020">
        <v>0</v>
      </c>
      <c r="BW1020" t="str">
        <f>"13:58:58.718"</f>
        <v>13:58:58.718</v>
      </c>
      <c r="CJ1020">
        <v>0</v>
      </c>
      <c r="CK1020">
        <v>2</v>
      </c>
      <c r="CL1020">
        <v>0</v>
      </c>
      <c r="CM1020">
        <v>2</v>
      </c>
      <c r="CN1020">
        <v>0</v>
      </c>
      <c r="CO1020">
        <v>6</v>
      </c>
      <c r="CP1020" t="s">
        <v>119</v>
      </c>
      <c r="CQ1020">
        <v>210</v>
      </c>
      <c r="CR1020">
        <v>2</v>
      </c>
      <c r="CW1020">
        <v>2418420</v>
      </c>
      <c r="CY1020">
        <v>1</v>
      </c>
      <c r="CZ1020">
        <v>0</v>
      </c>
      <c r="DA1020">
        <v>1</v>
      </c>
      <c r="DB1020">
        <v>0</v>
      </c>
      <c r="DC1020">
        <v>0</v>
      </c>
      <c r="DD1020">
        <v>1</v>
      </c>
      <c r="DE1020">
        <v>0</v>
      </c>
      <c r="DF1020">
        <v>0</v>
      </c>
      <c r="DG1020">
        <v>0</v>
      </c>
      <c r="DH1020">
        <v>0</v>
      </c>
      <c r="DI1020">
        <v>0</v>
      </c>
    </row>
    <row r="1021" spans="1:113" x14ac:dyDescent="0.3">
      <c r="A1021" t="str">
        <f>"09/28/2021 13:59:00.013"</f>
        <v>09/28/2021 13:59:00.013</v>
      </c>
      <c r="C1021" t="str">
        <f t="shared" si="50"/>
        <v>FFDFD3C0</v>
      </c>
      <c r="D1021" t="s">
        <v>113</v>
      </c>
      <c r="E1021">
        <v>7</v>
      </c>
      <c r="H1021">
        <v>170</v>
      </c>
      <c r="I1021" t="s">
        <v>114</v>
      </c>
      <c r="J1021" t="s">
        <v>115</v>
      </c>
      <c r="K1021">
        <v>0</v>
      </c>
      <c r="L1021">
        <v>3</v>
      </c>
      <c r="M1021">
        <v>0</v>
      </c>
      <c r="N1021">
        <v>2</v>
      </c>
      <c r="O1021">
        <v>1</v>
      </c>
      <c r="P1021">
        <v>0</v>
      </c>
      <c r="Q1021">
        <v>0</v>
      </c>
      <c r="S1021" t="str">
        <f>"13:58:59.836"</f>
        <v>13:58:59.836</v>
      </c>
      <c r="T1021" t="str">
        <f>"13:58:59.336"</f>
        <v>13:58:59.336</v>
      </c>
      <c r="U1021" t="str">
        <f t="shared" si="49"/>
        <v>A92BC1</v>
      </c>
      <c r="V1021">
        <v>0</v>
      </c>
      <c r="W1021">
        <v>0</v>
      </c>
      <c r="X1021">
        <v>2</v>
      </c>
      <c r="Z1021">
        <v>0</v>
      </c>
      <c r="AA1021">
        <v>9</v>
      </c>
      <c r="AB1021">
        <v>3</v>
      </c>
      <c r="AC1021">
        <v>0</v>
      </c>
      <c r="AD1021">
        <v>10</v>
      </c>
      <c r="AE1021">
        <v>0</v>
      </c>
      <c r="AF1021">
        <v>3</v>
      </c>
      <c r="AG1021">
        <v>2</v>
      </c>
      <c r="AH1021">
        <v>0</v>
      </c>
      <c r="AI1021" t="s">
        <v>1122</v>
      </c>
      <c r="AJ1021">
        <v>45.885043000000003</v>
      </c>
      <c r="AK1021" t="s">
        <v>1123</v>
      </c>
      <c r="AL1021">
        <v>-89.107574999999997</v>
      </c>
      <c r="AM1021">
        <v>100</v>
      </c>
      <c r="AN1021">
        <v>15600</v>
      </c>
      <c r="AO1021" t="s">
        <v>118</v>
      </c>
      <c r="AP1021">
        <v>161</v>
      </c>
      <c r="AQ1021">
        <v>129</v>
      </c>
      <c r="AR1021">
        <v>64</v>
      </c>
      <c r="AZ1021">
        <v>1200</v>
      </c>
      <c r="BA1021">
        <v>1</v>
      </c>
      <c r="BB1021" t="str">
        <f t="shared" si="51"/>
        <v xml:space="preserve">N690LS  </v>
      </c>
      <c r="BC1021">
        <v>1</v>
      </c>
      <c r="BE1021">
        <v>0</v>
      </c>
      <c r="BF1021">
        <v>0</v>
      </c>
      <c r="BG1021">
        <v>0</v>
      </c>
      <c r="BH1021">
        <v>16100</v>
      </c>
      <c r="BI1021">
        <v>1</v>
      </c>
      <c r="BJ1021">
        <v>1</v>
      </c>
      <c r="BK1021">
        <v>1</v>
      </c>
      <c r="BL1021">
        <v>0</v>
      </c>
      <c r="BO1021">
        <v>0</v>
      </c>
      <c r="BP1021">
        <v>0</v>
      </c>
      <c r="BW1021" t="str">
        <f>"13:58:59.844"</f>
        <v>13:58:59.844</v>
      </c>
      <c r="CJ1021">
        <v>0</v>
      </c>
      <c r="CK1021">
        <v>2</v>
      </c>
      <c r="CL1021">
        <v>0</v>
      </c>
      <c r="CM1021">
        <v>2</v>
      </c>
      <c r="CN1021">
        <v>0</v>
      </c>
      <c r="CO1021">
        <v>6</v>
      </c>
      <c r="CP1021" t="s">
        <v>119</v>
      </c>
      <c r="CQ1021">
        <v>209</v>
      </c>
      <c r="CR1021">
        <v>3</v>
      </c>
      <c r="CW1021">
        <v>7269384</v>
      </c>
      <c r="CY1021">
        <v>1</v>
      </c>
      <c r="CZ1021">
        <v>0</v>
      </c>
      <c r="DA1021">
        <v>0</v>
      </c>
      <c r="DB1021">
        <v>0</v>
      </c>
      <c r="DC1021">
        <v>0</v>
      </c>
      <c r="DD1021">
        <v>1</v>
      </c>
      <c r="DE1021">
        <v>0</v>
      </c>
      <c r="DF1021">
        <v>0</v>
      </c>
      <c r="DG1021">
        <v>0</v>
      </c>
      <c r="DH1021">
        <v>0</v>
      </c>
      <c r="DI1021">
        <v>0</v>
      </c>
    </row>
    <row r="1022" spans="1:113" x14ac:dyDescent="0.3">
      <c r="A1022" t="str">
        <f>"09/28/2021 13:59:00.013"</f>
        <v>09/28/2021 13:59:00.013</v>
      </c>
      <c r="C1022" t="str">
        <f t="shared" si="50"/>
        <v>FFDFD3C0</v>
      </c>
      <c r="D1022" t="s">
        <v>120</v>
      </c>
      <c r="E1022">
        <v>12</v>
      </c>
      <c r="F1022">
        <v>1012</v>
      </c>
      <c r="G1022" t="s">
        <v>114</v>
      </c>
      <c r="J1022" t="s">
        <v>121</v>
      </c>
      <c r="K1022">
        <v>0</v>
      </c>
      <c r="L1022">
        <v>3</v>
      </c>
      <c r="M1022">
        <v>0</v>
      </c>
      <c r="N1022">
        <v>2</v>
      </c>
      <c r="O1022">
        <v>1</v>
      </c>
      <c r="P1022">
        <v>0</v>
      </c>
      <c r="Q1022">
        <v>0</v>
      </c>
      <c r="S1022" t="str">
        <f>"13:58:59.836"</f>
        <v>13:58:59.836</v>
      </c>
      <c r="T1022" t="str">
        <f>"13:58:59.336"</f>
        <v>13:58:59.336</v>
      </c>
      <c r="U1022" t="str">
        <f t="shared" si="49"/>
        <v>A92BC1</v>
      </c>
      <c r="V1022">
        <v>0</v>
      </c>
      <c r="W1022">
        <v>0</v>
      </c>
      <c r="X1022">
        <v>2</v>
      </c>
      <c r="Z1022">
        <v>0</v>
      </c>
      <c r="AA1022">
        <v>9</v>
      </c>
      <c r="AB1022">
        <v>3</v>
      </c>
      <c r="AC1022">
        <v>0</v>
      </c>
      <c r="AD1022">
        <v>10</v>
      </c>
      <c r="AE1022">
        <v>0</v>
      </c>
      <c r="AF1022">
        <v>3</v>
      </c>
      <c r="AG1022">
        <v>2</v>
      </c>
      <c r="AH1022">
        <v>0</v>
      </c>
      <c r="AI1022" t="s">
        <v>1122</v>
      </c>
      <c r="AJ1022">
        <v>45.885043000000003</v>
      </c>
      <c r="AK1022" t="s">
        <v>1123</v>
      </c>
      <c r="AL1022">
        <v>-89.107574999999997</v>
      </c>
      <c r="AM1022">
        <v>100</v>
      </c>
      <c r="AN1022">
        <v>15600</v>
      </c>
      <c r="AO1022" t="s">
        <v>118</v>
      </c>
      <c r="AP1022">
        <v>161</v>
      </c>
      <c r="AQ1022">
        <v>129</v>
      </c>
      <c r="AR1022">
        <v>64</v>
      </c>
      <c r="AZ1022">
        <v>1200</v>
      </c>
      <c r="BA1022">
        <v>1</v>
      </c>
      <c r="BB1022" t="str">
        <f t="shared" si="51"/>
        <v xml:space="preserve">N690LS  </v>
      </c>
      <c r="BC1022">
        <v>1</v>
      </c>
      <c r="BE1022">
        <v>0</v>
      </c>
      <c r="BF1022">
        <v>0</v>
      </c>
      <c r="BG1022">
        <v>0</v>
      </c>
      <c r="BH1022">
        <v>16100</v>
      </c>
      <c r="BI1022">
        <v>1</v>
      </c>
      <c r="BJ1022">
        <v>1</v>
      </c>
      <c r="BK1022">
        <v>1</v>
      </c>
      <c r="BL1022">
        <v>0</v>
      </c>
      <c r="BO1022">
        <v>0</v>
      </c>
      <c r="BP1022">
        <v>0</v>
      </c>
      <c r="BW1022" t="str">
        <f>"13:58:59.844"</f>
        <v>13:58:59.844</v>
      </c>
      <c r="CJ1022">
        <v>0</v>
      </c>
      <c r="CK1022">
        <v>2</v>
      </c>
      <c r="CL1022">
        <v>0</v>
      </c>
      <c r="CM1022">
        <v>2</v>
      </c>
      <c r="CN1022">
        <v>0</v>
      </c>
      <c r="CO1022">
        <v>6</v>
      </c>
      <c r="CP1022" t="s">
        <v>119</v>
      </c>
      <c r="CQ1022">
        <v>209</v>
      </c>
      <c r="CR1022">
        <v>3</v>
      </c>
      <c r="CW1022">
        <v>7269384</v>
      </c>
      <c r="CY1022">
        <v>1</v>
      </c>
      <c r="CZ1022">
        <v>0</v>
      </c>
      <c r="DA1022">
        <v>1</v>
      </c>
      <c r="DB1022">
        <v>0</v>
      </c>
      <c r="DC1022">
        <v>0</v>
      </c>
      <c r="DD1022">
        <v>1</v>
      </c>
      <c r="DE1022">
        <v>0</v>
      </c>
      <c r="DF1022">
        <v>0</v>
      </c>
      <c r="DG1022">
        <v>0</v>
      </c>
      <c r="DH1022">
        <v>0</v>
      </c>
      <c r="DI1022">
        <v>0</v>
      </c>
    </row>
    <row r="1023" spans="1:113" x14ac:dyDescent="0.3">
      <c r="A1023" t="str">
        <f>"09/28/2021 13:59:01.075"</f>
        <v>09/28/2021 13:59:01.075</v>
      </c>
      <c r="C1023" t="str">
        <f t="shared" si="50"/>
        <v>FFDFD3C0</v>
      </c>
      <c r="D1023" t="s">
        <v>120</v>
      </c>
      <c r="E1023">
        <v>12</v>
      </c>
      <c r="F1023">
        <v>1012</v>
      </c>
      <c r="G1023" t="s">
        <v>114</v>
      </c>
      <c r="J1023" t="s">
        <v>121</v>
      </c>
      <c r="K1023">
        <v>0</v>
      </c>
      <c r="L1023">
        <v>3</v>
      </c>
      <c r="M1023">
        <v>0</v>
      </c>
      <c r="N1023">
        <v>2</v>
      </c>
      <c r="O1023">
        <v>1</v>
      </c>
      <c r="P1023">
        <v>0</v>
      </c>
      <c r="Q1023">
        <v>0</v>
      </c>
      <c r="S1023" t="str">
        <f>"13:59:00.805"</f>
        <v>13:59:00.805</v>
      </c>
      <c r="T1023" t="str">
        <f>"13:59:00.405"</f>
        <v>13:59:00.405</v>
      </c>
      <c r="U1023" t="str">
        <f t="shared" si="49"/>
        <v>A92BC1</v>
      </c>
      <c r="V1023">
        <v>0</v>
      </c>
      <c r="W1023">
        <v>0</v>
      </c>
      <c r="X1023">
        <v>2</v>
      </c>
      <c r="Z1023">
        <v>0</v>
      </c>
      <c r="AA1023">
        <v>9</v>
      </c>
      <c r="AB1023">
        <v>3</v>
      </c>
      <c r="AC1023">
        <v>0</v>
      </c>
      <c r="AD1023">
        <v>10</v>
      </c>
      <c r="AE1023">
        <v>0</v>
      </c>
      <c r="AF1023">
        <v>3</v>
      </c>
      <c r="AG1023">
        <v>2</v>
      </c>
      <c r="AH1023">
        <v>0</v>
      </c>
      <c r="AI1023" t="s">
        <v>1124</v>
      </c>
      <c r="AJ1023">
        <v>45.885579999999997</v>
      </c>
      <c r="AK1023" t="s">
        <v>1125</v>
      </c>
      <c r="AL1023">
        <v>-89.106630999999993</v>
      </c>
      <c r="AM1023">
        <v>100</v>
      </c>
      <c r="AN1023">
        <v>15600</v>
      </c>
      <c r="AO1023" t="s">
        <v>118</v>
      </c>
      <c r="AP1023">
        <v>161</v>
      </c>
      <c r="AQ1023">
        <v>129</v>
      </c>
      <c r="AR1023">
        <v>64</v>
      </c>
      <c r="AZ1023">
        <v>1200</v>
      </c>
      <c r="BA1023">
        <v>1</v>
      </c>
      <c r="BB1023" t="str">
        <f t="shared" si="51"/>
        <v xml:space="preserve">N690LS  </v>
      </c>
      <c r="BC1023">
        <v>1</v>
      </c>
      <c r="BE1023">
        <v>0</v>
      </c>
      <c r="BF1023">
        <v>0</v>
      </c>
      <c r="BG1023">
        <v>0</v>
      </c>
      <c r="BH1023">
        <v>16100</v>
      </c>
      <c r="BI1023">
        <v>1</v>
      </c>
      <c r="BJ1023">
        <v>1</v>
      </c>
      <c r="BK1023">
        <v>1</v>
      </c>
      <c r="BL1023">
        <v>0</v>
      </c>
      <c r="BO1023">
        <v>0</v>
      </c>
      <c r="BP1023">
        <v>0</v>
      </c>
      <c r="BW1023" t="str">
        <f>"13:59:00.812"</f>
        <v>13:59:00.812</v>
      </c>
      <c r="CJ1023">
        <v>0</v>
      </c>
      <c r="CK1023">
        <v>2</v>
      </c>
      <c r="CL1023">
        <v>0</v>
      </c>
      <c r="CM1023">
        <v>2</v>
      </c>
      <c r="CN1023">
        <v>0</v>
      </c>
      <c r="CO1023">
        <v>6</v>
      </c>
      <c r="CP1023" t="s">
        <v>119</v>
      </c>
      <c r="CQ1023">
        <v>210</v>
      </c>
      <c r="CR1023">
        <v>2</v>
      </c>
      <c r="CW1023">
        <v>2419974</v>
      </c>
      <c r="CY1023">
        <v>1</v>
      </c>
      <c r="CZ1023">
        <v>0</v>
      </c>
      <c r="DA1023">
        <v>0</v>
      </c>
      <c r="DB1023">
        <v>0</v>
      </c>
      <c r="DC1023">
        <v>0</v>
      </c>
      <c r="DD1023">
        <v>1</v>
      </c>
      <c r="DE1023">
        <v>0</v>
      </c>
      <c r="DF1023">
        <v>0</v>
      </c>
      <c r="DG1023">
        <v>0</v>
      </c>
      <c r="DH1023">
        <v>0</v>
      </c>
      <c r="DI1023">
        <v>0</v>
      </c>
    </row>
    <row r="1024" spans="1:113" x14ac:dyDescent="0.3">
      <c r="A1024" t="str">
        <f>"09/28/2021 13:59:01.075"</f>
        <v>09/28/2021 13:59:01.075</v>
      </c>
      <c r="C1024" t="str">
        <f t="shared" si="50"/>
        <v>FFDFD3C0</v>
      </c>
      <c r="D1024" t="s">
        <v>113</v>
      </c>
      <c r="E1024">
        <v>7</v>
      </c>
      <c r="H1024">
        <v>170</v>
      </c>
      <c r="I1024" t="s">
        <v>114</v>
      </c>
      <c r="J1024" t="s">
        <v>115</v>
      </c>
      <c r="K1024">
        <v>0</v>
      </c>
      <c r="L1024">
        <v>3</v>
      </c>
      <c r="M1024">
        <v>0</v>
      </c>
      <c r="N1024">
        <v>2</v>
      </c>
      <c r="O1024">
        <v>1</v>
      </c>
      <c r="P1024">
        <v>0</v>
      </c>
      <c r="Q1024">
        <v>0</v>
      </c>
      <c r="S1024" t="str">
        <f>"13:59:00.805"</f>
        <v>13:59:00.805</v>
      </c>
      <c r="T1024" t="str">
        <f>"13:59:00.405"</f>
        <v>13:59:00.405</v>
      </c>
      <c r="U1024" t="str">
        <f t="shared" si="49"/>
        <v>A92BC1</v>
      </c>
      <c r="V1024">
        <v>0</v>
      </c>
      <c r="W1024">
        <v>0</v>
      </c>
      <c r="X1024">
        <v>2</v>
      </c>
      <c r="Z1024">
        <v>0</v>
      </c>
      <c r="AA1024">
        <v>9</v>
      </c>
      <c r="AB1024">
        <v>3</v>
      </c>
      <c r="AC1024">
        <v>0</v>
      </c>
      <c r="AD1024">
        <v>10</v>
      </c>
      <c r="AE1024">
        <v>0</v>
      </c>
      <c r="AF1024">
        <v>3</v>
      </c>
      <c r="AG1024">
        <v>2</v>
      </c>
      <c r="AH1024">
        <v>0</v>
      </c>
      <c r="AI1024" t="s">
        <v>1124</v>
      </c>
      <c r="AJ1024">
        <v>45.885579999999997</v>
      </c>
      <c r="AK1024" t="s">
        <v>1125</v>
      </c>
      <c r="AL1024">
        <v>-89.106630999999993</v>
      </c>
      <c r="AM1024">
        <v>100</v>
      </c>
      <c r="AN1024">
        <v>15600</v>
      </c>
      <c r="AO1024" t="s">
        <v>118</v>
      </c>
      <c r="AP1024">
        <v>161</v>
      </c>
      <c r="AQ1024">
        <v>129</v>
      </c>
      <c r="AR1024">
        <v>64</v>
      </c>
      <c r="AZ1024">
        <v>1200</v>
      </c>
      <c r="BA1024">
        <v>1</v>
      </c>
      <c r="BB1024" t="str">
        <f t="shared" si="51"/>
        <v xml:space="preserve">N690LS  </v>
      </c>
      <c r="BC1024">
        <v>1</v>
      </c>
      <c r="BE1024">
        <v>0</v>
      </c>
      <c r="BF1024">
        <v>0</v>
      </c>
      <c r="BG1024">
        <v>0</v>
      </c>
      <c r="BH1024">
        <v>16100</v>
      </c>
      <c r="BI1024">
        <v>1</v>
      </c>
      <c r="BJ1024">
        <v>1</v>
      </c>
      <c r="BK1024">
        <v>1</v>
      </c>
      <c r="BL1024">
        <v>0</v>
      </c>
      <c r="BO1024">
        <v>0</v>
      </c>
      <c r="BP1024">
        <v>0</v>
      </c>
      <c r="BW1024" t="str">
        <f>"13:59:00.812"</f>
        <v>13:59:00.812</v>
      </c>
      <c r="CJ1024">
        <v>0</v>
      </c>
      <c r="CK1024">
        <v>2</v>
      </c>
      <c r="CL1024">
        <v>0</v>
      </c>
      <c r="CM1024">
        <v>2</v>
      </c>
      <c r="CN1024">
        <v>0</v>
      </c>
      <c r="CO1024">
        <v>6</v>
      </c>
      <c r="CP1024" t="s">
        <v>119</v>
      </c>
      <c r="CQ1024">
        <v>210</v>
      </c>
      <c r="CR1024">
        <v>2</v>
      </c>
      <c r="CW1024">
        <v>2419974</v>
      </c>
      <c r="CY1024">
        <v>1</v>
      </c>
      <c r="CZ1024">
        <v>0</v>
      </c>
      <c r="DA1024">
        <v>1</v>
      </c>
      <c r="DB1024">
        <v>0</v>
      </c>
      <c r="DC1024">
        <v>0</v>
      </c>
      <c r="DD1024">
        <v>1</v>
      </c>
      <c r="DE1024">
        <v>0</v>
      </c>
      <c r="DF1024">
        <v>0</v>
      </c>
      <c r="DG1024">
        <v>0</v>
      </c>
      <c r="DH1024">
        <v>0</v>
      </c>
      <c r="DI1024">
        <v>0</v>
      </c>
    </row>
    <row r="1025" spans="1:113" x14ac:dyDescent="0.3">
      <c r="A1025" t="str">
        <f>"09/28/2021 13:59:02.043"</f>
        <v>09/28/2021 13:59:02.043</v>
      </c>
      <c r="C1025" t="str">
        <f t="shared" si="50"/>
        <v>FFDFD3C0</v>
      </c>
      <c r="D1025" t="s">
        <v>120</v>
      </c>
      <c r="E1025">
        <v>12</v>
      </c>
      <c r="F1025">
        <v>1012</v>
      </c>
      <c r="G1025" t="s">
        <v>114</v>
      </c>
      <c r="J1025" t="s">
        <v>121</v>
      </c>
      <c r="K1025">
        <v>0</v>
      </c>
      <c r="L1025">
        <v>3</v>
      </c>
      <c r="M1025">
        <v>0</v>
      </c>
      <c r="N1025">
        <v>2</v>
      </c>
      <c r="O1025">
        <v>1</v>
      </c>
      <c r="P1025">
        <v>0</v>
      </c>
      <c r="Q1025">
        <v>0</v>
      </c>
      <c r="S1025" t="str">
        <f>"13:59:01.789"</f>
        <v>13:59:01.789</v>
      </c>
      <c r="T1025" t="str">
        <f>"13:59:01.389"</f>
        <v>13:59:01.389</v>
      </c>
      <c r="U1025" t="str">
        <f t="shared" si="49"/>
        <v>A92BC1</v>
      </c>
      <c r="V1025">
        <v>0</v>
      </c>
      <c r="W1025">
        <v>0</v>
      </c>
      <c r="X1025">
        <v>2</v>
      </c>
      <c r="Z1025">
        <v>0</v>
      </c>
      <c r="AA1025">
        <v>9</v>
      </c>
      <c r="AB1025">
        <v>3</v>
      </c>
      <c r="AC1025">
        <v>0</v>
      </c>
      <c r="AD1025">
        <v>10</v>
      </c>
      <c r="AE1025">
        <v>0</v>
      </c>
      <c r="AF1025">
        <v>3</v>
      </c>
      <c r="AG1025">
        <v>2</v>
      </c>
      <c r="AH1025">
        <v>0</v>
      </c>
      <c r="AI1025" t="s">
        <v>1126</v>
      </c>
      <c r="AJ1025">
        <v>45.886180000000003</v>
      </c>
      <c r="AK1025" t="s">
        <v>1127</v>
      </c>
      <c r="AL1025">
        <v>-89.105558000000002</v>
      </c>
      <c r="AM1025">
        <v>100</v>
      </c>
      <c r="AN1025">
        <v>15600</v>
      </c>
      <c r="AO1025" t="s">
        <v>118</v>
      </c>
      <c r="AP1025">
        <v>160</v>
      </c>
      <c r="AQ1025">
        <v>129</v>
      </c>
      <c r="AR1025">
        <v>64</v>
      </c>
      <c r="AZ1025">
        <v>1200</v>
      </c>
      <c r="BA1025">
        <v>1</v>
      </c>
      <c r="BB1025" t="str">
        <f t="shared" si="51"/>
        <v xml:space="preserve">N690LS  </v>
      </c>
      <c r="BC1025">
        <v>1</v>
      </c>
      <c r="BE1025">
        <v>0</v>
      </c>
      <c r="BF1025">
        <v>0</v>
      </c>
      <c r="BG1025">
        <v>0</v>
      </c>
      <c r="BH1025">
        <v>16100</v>
      </c>
      <c r="BI1025">
        <v>1</v>
      </c>
      <c r="BJ1025">
        <v>1</v>
      </c>
      <c r="BK1025">
        <v>1</v>
      </c>
      <c r="BL1025">
        <v>0</v>
      </c>
      <c r="BO1025">
        <v>0</v>
      </c>
      <c r="BP1025">
        <v>0</v>
      </c>
      <c r="BW1025" t="str">
        <f>"13:59:01.797"</f>
        <v>13:59:01.797</v>
      </c>
      <c r="CJ1025">
        <v>0</v>
      </c>
      <c r="CK1025">
        <v>2</v>
      </c>
      <c r="CL1025">
        <v>0</v>
      </c>
      <c r="CM1025">
        <v>2</v>
      </c>
      <c r="CN1025">
        <v>0</v>
      </c>
      <c r="CO1025">
        <v>7</v>
      </c>
      <c r="CP1025" t="s">
        <v>119</v>
      </c>
      <c r="CQ1025">
        <v>209</v>
      </c>
      <c r="CR1025">
        <v>3</v>
      </c>
      <c r="CW1025">
        <v>7270052</v>
      </c>
      <c r="CY1025">
        <v>1</v>
      </c>
      <c r="CZ1025">
        <v>0</v>
      </c>
      <c r="DA1025">
        <v>0</v>
      </c>
      <c r="DB1025">
        <v>0</v>
      </c>
      <c r="DC1025">
        <v>0</v>
      </c>
      <c r="DD1025">
        <v>1</v>
      </c>
      <c r="DE1025">
        <v>0</v>
      </c>
      <c r="DF1025">
        <v>0</v>
      </c>
      <c r="DG1025">
        <v>0</v>
      </c>
      <c r="DH1025">
        <v>0</v>
      </c>
      <c r="DI1025">
        <v>0</v>
      </c>
    </row>
    <row r="1026" spans="1:113" x14ac:dyDescent="0.3">
      <c r="A1026" t="str">
        <f>"09/28/2021 13:59:02.043"</f>
        <v>09/28/2021 13:59:02.043</v>
      </c>
      <c r="C1026" t="str">
        <f t="shared" si="50"/>
        <v>FFDFD3C0</v>
      </c>
      <c r="D1026" t="s">
        <v>113</v>
      </c>
      <c r="E1026">
        <v>7</v>
      </c>
      <c r="H1026">
        <v>170</v>
      </c>
      <c r="I1026" t="s">
        <v>114</v>
      </c>
      <c r="J1026" t="s">
        <v>115</v>
      </c>
      <c r="K1026">
        <v>0</v>
      </c>
      <c r="L1026">
        <v>3</v>
      </c>
      <c r="M1026">
        <v>0</v>
      </c>
      <c r="N1026">
        <v>2</v>
      </c>
      <c r="O1026">
        <v>1</v>
      </c>
      <c r="P1026">
        <v>0</v>
      </c>
      <c r="Q1026">
        <v>0</v>
      </c>
      <c r="S1026" t="str">
        <f>"13:59:01.789"</f>
        <v>13:59:01.789</v>
      </c>
      <c r="T1026" t="str">
        <f>"13:59:01.389"</f>
        <v>13:59:01.389</v>
      </c>
      <c r="U1026" t="str">
        <f t="shared" ref="U1026:U1089" si="52">"A92BC1"</f>
        <v>A92BC1</v>
      </c>
      <c r="V1026">
        <v>0</v>
      </c>
      <c r="W1026">
        <v>0</v>
      </c>
      <c r="X1026">
        <v>2</v>
      </c>
      <c r="Z1026">
        <v>0</v>
      </c>
      <c r="AA1026">
        <v>9</v>
      </c>
      <c r="AB1026">
        <v>3</v>
      </c>
      <c r="AC1026">
        <v>0</v>
      </c>
      <c r="AD1026">
        <v>10</v>
      </c>
      <c r="AE1026">
        <v>0</v>
      </c>
      <c r="AF1026">
        <v>3</v>
      </c>
      <c r="AG1026">
        <v>2</v>
      </c>
      <c r="AH1026">
        <v>0</v>
      </c>
      <c r="AI1026" t="s">
        <v>1126</v>
      </c>
      <c r="AJ1026">
        <v>45.886180000000003</v>
      </c>
      <c r="AK1026" t="s">
        <v>1127</v>
      </c>
      <c r="AL1026">
        <v>-89.105558000000002</v>
      </c>
      <c r="AM1026">
        <v>100</v>
      </c>
      <c r="AN1026">
        <v>15600</v>
      </c>
      <c r="AO1026" t="s">
        <v>118</v>
      </c>
      <c r="AP1026">
        <v>160</v>
      </c>
      <c r="AQ1026">
        <v>129</v>
      </c>
      <c r="AR1026">
        <v>64</v>
      </c>
      <c r="AZ1026">
        <v>1200</v>
      </c>
      <c r="BA1026">
        <v>1</v>
      </c>
      <c r="BB1026" t="str">
        <f t="shared" si="51"/>
        <v xml:space="preserve">N690LS  </v>
      </c>
      <c r="BC1026">
        <v>1</v>
      </c>
      <c r="BE1026">
        <v>0</v>
      </c>
      <c r="BF1026">
        <v>0</v>
      </c>
      <c r="BG1026">
        <v>0</v>
      </c>
      <c r="BH1026">
        <v>16100</v>
      </c>
      <c r="BI1026">
        <v>1</v>
      </c>
      <c r="BJ1026">
        <v>1</v>
      </c>
      <c r="BK1026">
        <v>1</v>
      </c>
      <c r="BL1026">
        <v>0</v>
      </c>
      <c r="BO1026">
        <v>0</v>
      </c>
      <c r="BP1026">
        <v>0</v>
      </c>
      <c r="BW1026" t="str">
        <f>"13:59:01.797"</f>
        <v>13:59:01.797</v>
      </c>
      <c r="CJ1026">
        <v>0</v>
      </c>
      <c r="CK1026">
        <v>2</v>
      </c>
      <c r="CL1026">
        <v>0</v>
      </c>
      <c r="CM1026">
        <v>2</v>
      </c>
      <c r="CN1026">
        <v>0</v>
      </c>
      <c r="CO1026">
        <v>7</v>
      </c>
      <c r="CP1026" t="s">
        <v>119</v>
      </c>
      <c r="CQ1026">
        <v>209</v>
      </c>
      <c r="CR1026">
        <v>3</v>
      </c>
      <c r="CW1026">
        <v>7270052</v>
      </c>
      <c r="CY1026">
        <v>1</v>
      </c>
      <c r="CZ1026">
        <v>0</v>
      </c>
      <c r="DA1026">
        <v>1</v>
      </c>
      <c r="DB1026">
        <v>0</v>
      </c>
      <c r="DC1026">
        <v>0</v>
      </c>
      <c r="DD1026">
        <v>1</v>
      </c>
      <c r="DE1026">
        <v>0</v>
      </c>
      <c r="DF1026">
        <v>0</v>
      </c>
      <c r="DG1026">
        <v>0</v>
      </c>
      <c r="DH1026">
        <v>0</v>
      </c>
      <c r="DI1026">
        <v>0</v>
      </c>
    </row>
    <row r="1027" spans="1:113" x14ac:dyDescent="0.3">
      <c r="A1027" t="str">
        <f>"09/28/2021 13:59:03.090"</f>
        <v>09/28/2021 13:59:03.090</v>
      </c>
      <c r="C1027" t="str">
        <f t="shared" si="50"/>
        <v>FFDFD3C0</v>
      </c>
      <c r="D1027" t="s">
        <v>120</v>
      </c>
      <c r="E1027">
        <v>12</v>
      </c>
      <c r="F1027">
        <v>1012</v>
      </c>
      <c r="G1027" t="s">
        <v>114</v>
      </c>
      <c r="J1027" t="s">
        <v>121</v>
      </c>
      <c r="K1027">
        <v>0</v>
      </c>
      <c r="L1027">
        <v>3</v>
      </c>
      <c r="M1027">
        <v>0</v>
      </c>
      <c r="N1027">
        <v>2</v>
      </c>
      <c r="O1027">
        <v>1</v>
      </c>
      <c r="P1027">
        <v>0</v>
      </c>
      <c r="Q1027">
        <v>0</v>
      </c>
      <c r="S1027" t="str">
        <f>"13:59:02.844"</f>
        <v>13:59:02.844</v>
      </c>
      <c r="T1027" t="str">
        <f>"13:59:02.344"</f>
        <v>13:59:02.344</v>
      </c>
      <c r="U1027" t="str">
        <f t="shared" si="52"/>
        <v>A92BC1</v>
      </c>
      <c r="V1027">
        <v>0</v>
      </c>
      <c r="W1027">
        <v>0</v>
      </c>
      <c r="X1027">
        <v>2</v>
      </c>
      <c r="Z1027">
        <v>0</v>
      </c>
      <c r="AA1027">
        <v>9</v>
      </c>
      <c r="AB1027">
        <v>3</v>
      </c>
      <c r="AC1027">
        <v>0</v>
      </c>
      <c r="AD1027">
        <v>10</v>
      </c>
      <c r="AE1027">
        <v>0</v>
      </c>
      <c r="AF1027">
        <v>3</v>
      </c>
      <c r="AG1027">
        <v>2</v>
      </c>
      <c r="AH1027">
        <v>0</v>
      </c>
      <c r="AI1027" t="s">
        <v>1128</v>
      </c>
      <c r="AJ1027">
        <v>45.886867000000002</v>
      </c>
      <c r="AK1027" t="s">
        <v>1129</v>
      </c>
      <c r="AL1027">
        <v>-89.104399999999998</v>
      </c>
      <c r="AM1027">
        <v>100</v>
      </c>
      <c r="AN1027">
        <v>15600</v>
      </c>
      <c r="AO1027" t="s">
        <v>118</v>
      </c>
      <c r="AP1027">
        <v>159</v>
      </c>
      <c r="AQ1027">
        <v>128</v>
      </c>
      <c r="AR1027">
        <v>0</v>
      </c>
      <c r="AZ1027">
        <v>1200</v>
      </c>
      <c r="BA1027">
        <v>1</v>
      </c>
      <c r="BB1027" t="str">
        <f t="shared" si="51"/>
        <v xml:space="preserve">N690LS  </v>
      </c>
      <c r="BC1027">
        <v>1</v>
      </c>
      <c r="BE1027">
        <v>0</v>
      </c>
      <c r="BF1027">
        <v>0</v>
      </c>
      <c r="BG1027">
        <v>0</v>
      </c>
      <c r="BH1027">
        <v>16100</v>
      </c>
      <c r="BI1027">
        <v>1</v>
      </c>
      <c r="BJ1027">
        <v>1</v>
      </c>
      <c r="BK1027">
        <v>1</v>
      </c>
      <c r="BL1027">
        <v>0</v>
      </c>
      <c r="BO1027">
        <v>0</v>
      </c>
      <c r="BP1027">
        <v>0</v>
      </c>
      <c r="BW1027" t="str">
        <f>"13:59:02.848"</f>
        <v>13:59:02.848</v>
      </c>
      <c r="CJ1027">
        <v>0</v>
      </c>
      <c r="CK1027">
        <v>2</v>
      </c>
      <c r="CL1027">
        <v>0</v>
      </c>
      <c r="CM1027">
        <v>2</v>
      </c>
      <c r="CN1027">
        <v>0</v>
      </c>
      <c r="CO1027">
        <v>7</v>
      </c>
      <c r="CP1027" t="s">
        <v>119</v>
      </c>
      <c r="CQ1027">
        <v>197</v>
      </c>
      <c r="CR1027">
        <v>0</v>
      </c>
      <c r="CW1027">
        <v>16088316</v>
      </c>
      <c r="CY1027">
        <v>1</v>
      </c>
      <c r="CZ1027">
        <v>0</v>
      </c>
      <c r="DA1027">
        <v>0</v>
      </c>
      <c r="DB1027">
        <v>0</v>
      </c>
      <c r="DC1027">
        <v>0</v>
      </c>
      <c r="DD1027">
        <v>1</v>
      </c>
      <c r="DE1027">
        <v>0</v>
      </c>
      <c r="DF1027">
        <v>0</v>
      </c>
      <c r="DG1027">
        <v>0</v>
      </c>
      <c r="DH1027">
        <v>0</v>
      </c>
      <c r="DI1027">
        <v>0</v>
      </c>
    </row>
    <row r="1028" spans="1:113" x14ac:dyDescent="0.3">
      <c r="A1028" t="str">
        <f>"09/28/2021 13:59:03.090"</f>
        <v>09/28/2021 13:59:03.090</v>
      </c>
      <c r="C1028" t="str">
        <f t="shared" si="50"/>
        <v>FFDFD3C0</v>
      </c>
      <c r="D1028" t="s">
        <v>113</v>
      </c>
      <c r="E1028">
        <v>7</v>
      </c>
      <c r="H1028">
        <v>170</v>
      </c>
      <c r="I1028" t="s">
        <v>114</v>
      </c>
      <c r="J1028" t="s">
        <v>115</v>
      </c>
      <c r="K1028">
        <v>0</v>
      </c>
      <c r="L1028">
        <v>3</v>
      </c>
      <c r="M1028">
        <v>0</v>
      </c>
      <c r="N1028">
        <v>2</v>
      </c>
      <c r="O1028">
        <v>1</v>
      </c>
      <c r="P1028">
        <v>0</v>
      </c>
      <c r="Q1028">
        <v>0</v>
      </c>
      <c r="S1028" t="str">
        <f>"13:59:02.844"</f>
        <v>13:59:02.844</v>
      </c>
      <c r="T1028" t="str">
        <f>"13:59:02.344"</f>
        <v>13:59:02.344</v>
      </c>
      <c r="U1028" t="str">
        <f t="shared" si="52"/>
        <v>A92BC1</v>
      </c>
      <c r="V1028">
        <v>0</v>
      </c>
      <c r="W1028">
        <v>0</v>
      </c>
      <c r="X1028">
        <v>2</v>
      </c>
      <c r="Z1028">
        <v>0</v>
      </c>
      <c r="AA1028">
        <v>9</v>
      </c>
      <c r="AB1028">
        <v>3</v>
      </c>
      <c r="AC1028">
        <v>0</v>
      </c>
      <c r="AD1028">
        <v>10</v>
      </c>
      <c r="AE1028">
        <v>0</v>
      </c>
      <c r="AF1028">
        <v>3</v>
      </c>
      <c r="AG1028">
        <v>2</v>
      </c>
      <c r="AH1028">
        <v>0</v>
      </c>
      <c r="AI1028" t="s">
        <v>1128</v>
      </c>
      <c r="AJ1028">
        <v>45.886867000000002</v>
      </c>
      <c r="AK1028" t="s">
        <v>1129</v>
      </c>
      <c r="AL1028">
        <v>-89.104399999999998</v>
      </c>
      <c r="AM1028">
        <v>100</v>
      </c>
      <c r="AN1028">
        <v>15600</v>
      </c>
      <c r="AO1028" t="s">
        <v>118</v>
      </c>
      <c r="AP1028">
        <v>159</v>
      </c>
      <c r="AQ1028">
        <v>128</v>
      </c>
      <c r="AR1028">
        <v>0</v>
      </c>
      <c r="AZ1028">
        <v>1200</v>
      </c>
      <c r="BA1028">
        <v>1</v>
      </c>
      <c r="BB1028" t="str">
        <f t="shared" si="51"/>
        <v xml:space="preserve">N690LS  </v>
      </c>
      <c r="BC1028">
        <v>1</v>
      </c>
      <c r="BE1028">
        <v>0</v>
      </c>
      <c r="BF1028">
        <v>0</v>
      </c>
      <c r="BG1028">
        <v>0</v>
      </c>
      <c r="BH1028">
        <v>16100</v>
      </c>
      <c r="BI1028">
        <v>1</v>
      </c>
      <c r="BJ1028">
        <v>1</v>
      </c>
      <c r="BK1028">
        <v>1</v>
      </c>
      <c r="BL1028">
        <v>0</v>
      </c>
      <c r="BO1028">
        <v>0</v>
      </c>
      <c r="BP1028">
        <v>0</v>
      </c>
      <c r="BW1028" t="str">
        <f>"13:59:02.848"</f>
        <v>13:59:02.848</v>
      </c>
      <c r="CJ1028">
        <v>0</v>
      </c>
      <c r="CK1028">
        <v>2</v>
      </c>
      <c r="CL1028">
        <v>0</v>
      </c>
      <c r="CM1028">
        <v>2</v>
      </c>
      <c r="CN1028">
        <v>0</v>
      </c>
      <c r="CO1028">
        <v>7</v>
      </c>
      <c r="CP1028" t="s">
        <v>119</v>
      </c>
      <c r="CQ1028">
        <v>197</v>
      </c>
      <c r="CR1028">
        <v>0</v>
      </c>
      <c r="CW1028">
        <v>16088316</v>
      </c>
      <c r="CY1028">
        <v>1</v>
      </c>
      <c r="CZ1028">
        <v>0</v>
      </c>
      <c r="DA1028">
        <v>1</v>
      </c>
      <c r="DB1028">
        <v>0</v>
      </c>
      <c r="DC1028">
        <v>0</v>
      </c>
      <c r="DD1028">
        <v>1</v>
      </c>
      <c r="DE1028">
        <v>0</v>
      </c>
      <c r="DF1028">
        <v>0</v>
      </c>
      <c r="DG1028">
        <v>0</v>
      </c>
      <c r="DH1028">
        <v>0</v>
      </c>
      <c r="DI1028">
        <v>0</v>
      </c>
    </row>
    <row r="1029" spans="1:113" x14ac:dyDescent="0.3">
      <c r="A1029" t="str">
        <f>"09/28/2021 13:59:04.121"</f>
        <v>09/28/2021 13:59:04.121</v>
      </c>
      <c r="C1029" t="str">
        <f t="shared" si="50"/>
        <v>FFDFD3C0</v>
      </c>
      <c r="D1029" t="s">
        <v>120</v>
      </c>
      <c r="E1029">
        <v>12</v>
      </c>
      <c r="F1029">
        <v>1012</v>
      </c>
      <c r="G1029" t="s">
        <v>114</v>
      </c>
      <c r="J1029" t="s">
        <v>121</v>
      </c>
      <c r="K1029">
        <v>0</v>
      </c>
      <c r="L1029">
        <v>3</v>
      </c>
      <c r="M1029">
        <v>0</v>
      </c>
      <c r="N1029">
        <v>2</v>
      </c>
      <c r="O1029">
        <v>1</v>
      </c>
      <c r="P1029">
        <v>0</v>
      </c>
      <c r="Q1029">
        <v>0</v>
      </c>
      <c r="S1029" t="str">
        <f>"13:59:03.883"</f>
        <v>13:59:03.883</v>
      </c>
      <c r="T1029" t="str">
        <f>"13:59:03.383"</f>
        <v>13:59:03.383</v>
      </c>
      <c r="U1029" t="str">
        <f t="shared" si="52"/>
        <v>A92BC1</v>
      </c>
      <c r="V1029">
        <v>0</v>
      </c>
      <c r="W1029">
        <v>0</v>
      </c>
      <c r="X1029">
        <v>2</v>
      </c>
      <c r="Z1029">
        <v>0</v>
      </c>
      <c r="AA1029">
        <v>9</v>
      </c>
      <c r="AB1029">
        <v>3</v>
      </c>
      <c r="AC1029">
        <v>0</v>
      </c>
      <c r="AD1029">
        <v>10</v>
      </c>
      <c r="AE1029">
        <v>0</v>
      </c>
      <c r="AF1029">
        <v>3</v>
      </c>
      <c r="AG1029">
        <v>2</v>
      </c>
      <c r="AH1029">
        <v>0</v>
      </c>
      <c r="AI1029" t="s">
        <v>1130</v>
      </c>
      <c r="AJ1029">
        <v>45.887425</v>
      </c>
      <c r="AK1029" t="s">
        <v>1131</v>
      </c>
      <c r="AL1029">
        <v>-89.103305000000006</v>
      </c>
      <c r="AM1029">
        <v>100</v>
      </c>
      <c r="AN1029">
        <v>15600</v>
      </c>
      <c r="AO1029" t="s">
        <v>118</v>
      </c>
      <c r="AP1029">
        <v>159</v>
      </c>
      <c r="AQ1029">
        <v>128</v>
      </c>
      <c r="AR1029">
        <v>0</v>
      </c>
      <c r="AZ1029">
        <v>1200</v>
      </c>
      <c r="BA1029">
        <v>1</v>
      </c>
      <c r="BB1029" t="str">
        <f t="shared" si="51"/>
        <v xml:space="preserve">N690LS  </v>
      </c>
      <c r="BC1029">
        <v>1</v>
      </c>
      <c r="BE1029">
        <v>0</v>
      </c>
      <c r="BF1029">
        <v>0</v>
      </c>
      <c r="BG1029">
        <v>0</v>
      </c>
      <c r="BH1029">
        <v>16100</v>
      </c>
      <c r="BI1029">
        <v>1</v>
      </c>
      <c r="BJ1029">
        <v>1</v>
      </c>
      <c r="BK1029">
        <v>1</v>
      </c>
      <c r="BL1029">
        <v>0</v>
      </c>
      <c r="BO1029">
        <v>0</v>
      </c>
      <c r="BP1029">
        <v>0</v>
      </c>
      <c r="BW1029" t="str">
        <f>"13:59:03.886"</f>
        <v>13:59:03.886</v>
      </c>
      <c r="CJ1029">
        <v>0</v>
      </c>
      <c r="CK1029">
        <v>2</v>
      </c>
      <c r="CL1029">
        <v>0</v>
      </c>
      <c r="CM1029">
        <v>2</v>
      </c>
      <c r="CN1029">
        <v>0</v>
      </c>
      <c r="CO1029">
        <v>7</v>
      </c>
      <c r="CP1029" t="s">
        <v>119</v>
      </c>
      <c r="CQ1029">
        <v>209</v>
      </c>
      <c r="CR1029">
        <v>3</v>
      </c>
      <c r="CW1029">
        <v>7270794</v>
      </c>
      <c r="CY1029">
        <v>1</v>
      </c>
      <c r="CZ1029">
        <v>0</v>
      </c>
      <c r="DA1029">
        <v>0</v>
      </c>
      <c r="DB1029">
        <v>0</v>
      </c>
      <c r="DC1029">
        <v>0</v>
      </c>
      <c r="DD1029">
        <v>1</v>
      </c>
      <c r="DE1029">
        <v>0</v>
      </c>
      <c r="DF1029">
        <v>0</v>
      </c>
      <c r="DG1029">
        <v>0</v>
      </c>
      <c r="DH1029">
        <v>0</v>
      </c>
      <c r="DI1029">
        <v>0</v>
      </c>
    </row>
    <row r="1030" spans="1:113" x14ac:dyDescent="0.3">
      <c r="A1030" t="str">
        <f>"09/28/2021 13:59:04.121"</f>
        <v>09/28/2021 13:59:04.121</v>
      </c>
      <c r="C1030" t="str">
        <f t="shared" si="50"/>
        <v>FFDFD3C0</v>
      </c>
      <c r="D1030" t="s">
        <v>113</v>
      </c>
      <c r="E1030">
        <v>7</v>
      </c>
      <c r="H1030">
        <v>170</v>
      </c>
      <c r="I1030" t="s">
        <v>114</v>
      </c>
      <c r="J1030" t="s">
        <v>115</v>
      </c>
      <c r="K1030">
        <v>0</v>
      </c>
      <c r="L1030">
        <v>3</v>
      </c>
      <c r="M1030">
        <v>0</v>
      </c>
      <c r="N1030">
        <v>2</v>
      </c>
      <c r="O1030">
        <v>1</v>
      </c>
      <c r="P1030">
        <v>0</v>
      </c>
      <c r="Q1030">
        <v>0</v>
      </c>
      <c r="S1030" t="str">
        <f>"13:59:03.883"</f>
        <v>13:59:03.883</v>
      </c>
      <c r="T1030" t="str">
        <f>"13:59:03.383"</f>
        <v>13:59:03.383</v>
      </c>
      <c r="U1030" t="str">
        <f t="shared" si="52"/>
        <v>A92BC1</v>
      </c>
      <c r="V1030">
        <v>0</v>
      </c>
      <c r="W1030">
        <v>0</v>
      </c>
      <c r="X1030">
        <v>2</v>
      </c>
      <c r="Z1030">
        <v>0</v>
      </c>
      <c r="AA1030">
        <v>9</v>
      </c>
      <c r="AB1030">
        <v>3</v>
      </c>
      <c r="AC1030">
        <v>0</v>
      </c>
      <c r="AD1030">
        <v>10</v>
      </c>
      <c r="AE1030">
        <v>0</v>
      </c>
      <c r="AF1030">
        <v>3</v>
      </c>
      <c r="AG1030">
        <v>2</v>
      </c>
      <c r="AH1030">
        <v>0</v>
      </c>
      <c r="AI1030" t="s">
        <v>1130</v>
      </c>
      <c r="AJ1030">
        <v>45.887425</v>
      </c>
      <c r="AK1030" t="s">
        <v>1131</v>
      </c>
      <c r="AL1030">
        <v>-89.103305000000006</v>
      </c>
      <c r="AM1030">
        <v>100</v>
      </c>
      <c r="AN1030">
        <v>15600</v>
      </c>
      <c r="AO1030" t="s">
        <v>118</v>
      </c>
      <c r="AP1030">
        <v>159</v>
      </c>
      <c r="AQ1030">
        <v>128</v>
      </c>
      <c r="AR1030">
        <v>0</v>
      </c>
      <c r="AZ1030">
        <v>1200</v>
      </c>
      <c r="BA1030">
        <v>1</v>
      </c>
      <c r="BB1030" t="str">
        <f t="shared" si="51"/>
        <v xml:space="preserve">N690LS  </v>
      </c>
      <c r="BC1030">
        <v>1</v>
      </c>
      <c r="BE1030">
        <v>0</v>
      </c>
      <c r="BF1030">
        <v>0</v>
      </c>
      <c r="BG1030">
        <v>0</v>
      </c>
      <c r="BH1030">
        <v>16100</v>
      </c>
      <c r="BI1030">
        <v>1</v>
      </c>
      <c r="BJ1030">
        <v>1</v>
      </c>
      <c r="BK1030">
        <v>1</v>
      </c>
      <c r="BL1030">
        <v>0</v>
      </c>
      <c r="BO1030">
        <v>0</v>
      </c>
      <c r="BP1030">
        <v>0</v>
      </c>
      <c r="BW1030" t="str">
        <f>"13:59:03.886"</f>
        <v>13:59:03.886</v>
      </c>
      <c r="CJ1030">
        <v>0</v>
      </c>
      <c r="CK1030">
        <v>2</v>
      </c>
      <c r="CL1030">
        <v>0</v>
      </c>
      <c r="CM1030">
        <v>2</v>
      </c>
      <c r="CN1030">
        <v>0</v>
      </c>
      <c r="CO1030">
        <v>7</v>
      </c>
      <c r="CP1030" t="s">
        <v>119</v>
      </c>
      <c r="CQ1030">
        <v>209</v>
      </c>
      <c r="CR1030">
        <v>3</v>
      </c>
      <c r="CW1030">
        <v>7270794</v>
      </c>
      <c r="CY1030">
        <v>1</v>
      </c>
      <c r="CZ1030">
        <v>0</v>
      </c>
      <c r="DA1030">
        <v>1</v>
      </c>
      <c r="DB1030">
        <v>0</v>
      </c>
      <c r="DC1030">
        <v>0</v>
      </c>
      <c r="DD1030">
        <v>1</v>
      </c>
      <c r="DE1030">
        <v>0</v>
      </c>
      <c r="DF1030">
        <v>0</v>
      </c>
      <c r="DG1030">
        <v>0</v>
      </c>
      <c r="DH1030">
        <v>0</v>
      </c>
      <c r="DI1030">
        <v>0</v>
      </c>
    </row>
    <row r="1031" spans="1:113" x14ac:dyDescent="0.3">
      <c r="A1031" t="str">
        <f>"09/28/2021 13:59:05.060"</f>
        <v>09/28/2021 13:59:05.060</v>
      </c>
      <c r="C1031" t="str">
        <f t="shared" si="50"/>
        <v>FFDFD3C0</v>
      </c>
      <c r="D1031" t="s">
        <v>120</v>
      </c>
      <c r="E1031">
        <v>12</v>
      </c>
      <c r="F1031">
        <v>1012</v>
      </c>
      <c r="G1031" t="s">
        <v>114</v>
      </c>
      <c r="J1031" t="s">
        <v>121</v>
      </c>
      <c r="K1031">
        <v>0</v>
      </c>
      <c r="L1031">
        <v>3</v>
      </c>
      <c r="M1031">
        <v>0</v>
      </c>
      <c r="N1031">
        <v>2</v>
      </c>
      <c r="O1031">
        <v>1</v>
      </c>
      <c r="P1031">
        <v>0</v>
      </c>
      <c r="Q1031">
        <v>0</v>
      </c>
      <c r="S1031" t="str">
        <f>"13:59:04.875"</f>
        <v>13:59:04.875</v>
      </c>
      <c r="T1031" t="str">
        <f>"13:59:04.375"</f>
        <v>13:59:04.375</v>
      </c>
      <c r="U1031" t="str">
        <f t="shared" si="52"/>
        <v>A92BC1</v>
      </c>
      <c r="V1031">
        <v>0</v>
      </c>
      <c r="W1031">
        <v>0</v>
      </c>
      <c r="X1031">
        <v>2</v>
      </c>
      <c r="Z1031">
        <v>0</v>
      </c>
      <c r="AA1031">
        <v>9</v>
      </c>
      <c r="AB1031">
        <v>3</v>
      </c>
      <c r="AC1031">
        <v>0</v>
      </c>
      <c r="AD1031">
        <v>10</v>
      </c>
      <c r="AE1031">
        <v>0</v>
      </c>
      <c r="AF1031">
        <v>3</v>
      </c>
      <c r="AG1031">
        <v>2</v>
      </c>
      <c r="AH1031">
        <v>0</v>
      </c>
      <c r="AI1031" t="s">
        <v>1132</v>
      </c>
      <c r="AJ1031">
        <v>45.888026000000004</v>
      </c>
      <c r="AK1031" t="s">
        <v>1133</v>
      </c>
      <c r="AL1031">
        <v>-89.102275000000006</v>
      </c>
      <c r="AM1031">
        <v>100</v>
      </c>
      <c r="AN1031">
        <v>15600</v>
      </c>
      <c r="AO1031" t="s">
        <v>118</v>
      </c>
      <c r="AP1031">
        <v>158</v>
      </c>
      <c r="AQ1031">
        <v>127</v>
      </c>
      <c r="AR1031">
        <v>64</v>
      </c>
      <c r="AZ1031">
        <v>1200</v>
      </c>
      <c r="BA1031">
        <v>1</v>
      </c>
      <c r="BB1031" t="str">
        <f t="shared" si="51"/>
        <v xml:space="preserve">N690LS  </v>
      </c>
      <c r="BC1031">
        <v>1</v>
      </c>
      <c r="BE1031">
        <v>0</v>
      </c>
      <c r="BF1031">
        <v>0</v>
      </c>
      <c r="BG1031">
        <v>0</v>
      </c>
      <c r="BH1031">
        <v>16100</v>
      </c>
      <c r="BI1031">
        <v>1</v>
      </c>
      <c r="BJ1031">
        <v>1</v>
      </c>
      <c r="BK1031">
        <v>1</v>
      </c>
      <c r="BL1031">
        <v>0</v>
      </c>
      <c r="BO1031">
        <v>0</v>
      </c>
      <c r="BP1031">
        <v>0</v>
      </c>
      <c r="BW1031" t="str">
        <f>"13:59:04.878"</f>
        <v>13:59:04.878</v>
      </c>
      <c r="CJ1031">
        <v>0</v>
      </c>
      <c r="CK1031">
        <v>2</v>
      </c>
      <c r="CL1031">
        <v>0</v>
      </c>
      <c r="CM1031">
        <v>2</v>
      </c>
      <c r="CN1031">
        <v>0</v>
      </c>
      <c r="CO1031">
        <v>7</v>
      </c>
      <c r="CP1031" t="s">
        <v>119</v>
      </c>
      <c r="CQ1031">
        <v>209</v>
      </c>
      <c r="CR1031">
        <v>3</v>
      </c>
      <c r="CW1031">
        <v>7271142</v>
      </c>
      <c r="CY1031">
        <v>1</v>
      </c>
      <c r="CZ1031">
        <v>0</v>
      </c>
      <c r="DA1031">
        <v>0</v>
      </c>
      <c r="DB1031">
        <v>0</v>
      </c>
      <c r="DC1031">
        <v>0</v>
      </c>
      <c r="DD1031">
        <v>1</v>
      </c>
      <c r="DE1031">
        <v>0</v>
      </c>
      <c r="DF1031">
        <v>0</v>
      </c>
      <c r="DG1031">
        <v>0</v>
      </c>
      <c r="DH1031">
        <v>0</v>
      </c>
      <c r="DI1031">
        <v>0</v>
      </c>
    </row>
    <row r="1032" spans="1:113" x14ac:dyDescent="0.3">
      <c r="A1032" t="str">
        <f>"09/28/2021 13:59:05.076"</f>
        <v>09/28/2021 13:59:05.076</v>
      </c>
      <c r="C1032" t="str">
        <f t="shared" si="50"/>
        <v>FFDFD3C0</v>
      </c>
      <c r="D1032" t="s">
        <v>113</v>
      </c>
      <c r="E1032">
        <v>7</v>
      </c>
      <c r="H1032">
        <v>170</v>
      </c>
      <c r="I1032" t="s">
        <v>114</v>
      </c>
      <c r="J1032" t="s">
        <v>115</v>
      </c>
      <c r="K1032">
        <v>0</v>
      </c>
      <c r="L1032">
        <v>3</v>
      </c>
      <c r="M1032">
        <v>0</v>
      </c>
      <c r="N1032">
        <v>2</v>
      </c>
      <c r="O1032">
        <v>1</v>
      </c>
      <c r="P1032">
        <v>0</v>
      </c>
      <c r="Q1032">
        <v>0</v>
      </c>
      <c r="S1032" t="str">
        <f>"13:59:04.875"</f>
        <v>13:59:04.875</v>
      </c>
      <c r="T1032" t="str">
        <f>"13:59:04.375"</f>
        <v>13:59:04.375</v>
      </c>
      <c r="U1032" t="str">
        <f t="shared" si="52"/>
        <v>A92BC1</v>
      </c>
      <c r="V1032">
        <v>0</v>
      </c>
      <c r="W1032">
        <v>0</v>
      </c>
      <c r="X1032">
        <v>2</v>
      </c>
      <c r="Z1032">
        <v>0</v>
      </c>
      <c r="AA1032">
        <v>9</v>
      </c>
      <c r="AB1032">
        <v>3</v>
      </c>
      <c r="AC1032">
        <v>0</v>
      </c>
      <c r="AD1032">
        <v>10</v>
      </c>
      <c r="AE1032">
        <v>0</v>
      </c>
      <c r="AF1032">
        <v>3</v>
      </c>
      <c r="AG1032">
        <v>2</v>
      </c>
      <c r="AH1032">
        <v>0</v>
      </c>
      <c r="AI1032" t="s">
        <v>1132</v>
      </c>
      <c r="AJ1032">
        <v>45.888026000000004</v>
      </c>
      <c r="AK1032" t="s">
        <v>1133</v>
      </c>
      <c r="AL1032">
        <v>-89.102275000000006</v>
      </c>
      <c r="AM1032">
        <v>100</v>
      </c>
      <c r="AN1032">
        <v>15600</v>
      </c>
      <c r="AO1032" t="s">
        <v>118</v>
      </c>
      <c r="AP1032">
        <v>158</v>
      </c>
      <c r="AQ1032">
        <v>127</v>
      </c>
      <c r="AR1032">
        <v>64</v>
      </c>
      <c r="AZ1032">
        <v>1200</v>
      </c>
      <c r="BA1032">
        <v>1</v>
      </c>
      <c r="BB1032" t="str">
        <f t="shared" si="51"/>
        <v xml:space="preserve">N690LS  </v>
      </c>
      <c r="BC1032">
        <v>1</v>
      </c>
      <c r="BE1032">
        <v>0</v>
      </c>
      <c r="BF1032">
        <v>0</v>
      </c>
      <c r="BG1032">
        <v>0</v>
      </c>
      <c r="BH1032">
        <v>16100</v>
      </c>
      <c r="BI1032">
        <v>1</v>
      </c>
      <c r="BJ1032">
        <v>1</v>
      </c>
      <c r="BK1032">
        <v>1</v>
      </c>
      <c r="BL1032">
        <v>0</v>
      </c>
      <c r="BO1032">
        <v>0</v>
      </c>
      <c r="BP1032">
        <v>0</v>
      </c>
      <c r="BW1032" t="str">
        <f>"13:59:04.878"</f>
        <v>13:59:04.878</v>
      </c>
      <c r="CJ1032">
        <v>0</v>
      </c>
      <c r="CK1032">
        <v>2</v>
      </c>
      <c r="CL1032">
        <v>0</v>
      </c>
      <c r="CM1032">
        <v>2</v>
      </c>
      <c r="CN1032">
        <v>0</v>
      </c>
      <c r="CO1032">
        <v>7</v>
      </c>
      <c r="CP1032" t="s">
        <v>119</v>
      </c>
      <c r="CQ1032">
        <v>209</v>
      </c>
      <c r="CR1032">
        <v>3</v>
      </c>
      <c r="CW1032">
        <v>7271142</v>
      </c>
      <c r="CY1032">
        <v>1</v>
      </c>
      <c r="CZ1032">
        <v>0</v>
      </c>
      <c r="DA1032">
        <v>1</v>
      </c>
      <c r="DB1032">
        <v>0</v>
      </c>
      <c r="DC1032">
        <v>0</v>
      </c>
      <c r="DD1032">
        <v>1</v>
      </c>
      <c r="DE1032">
        <v>0</v>
      </c>
      <c r="DF1032">
        <v>0</v>
      </c>
      <c r="DG1032">
        <v>0</v>
      </c>
      <c r="DH1032">
        <v>0</v>
      </c>
      <c r="DI1032">
        <v>0</v>
      </c>
    </row>
    <row r="1033" spans="1:113" x14ac:dyDescent="0.3">
      <c r="A1033" t="str">
        <f>"09/28/2021 13:59:06.060"</f>
        <v>09/28/2021 13:59:06.060</v>
      </c>
      <c r="C1033" t="str">
        <f t="shared" si="50"/>
        <v>FFDFD3C0</v>
      </c>
      <c r="D1033" t="s">
        <v>120</v>
      </c>
      <c r="E1033">
        <v>12</v>
      </c>
      <c r="F1033">
        <v>1012</v>
      </c>
      <c r="G1033" t="s">
        <v>114</v>
      </c>
      <c r="J1033" t="s">
        <v>121</v>
      </c>
      <c r="K1033">
        <v>0</v>
      </c>
      <c r="L1033">
        <v>3</v>
      </c>
      <c r="M1033">
        <v>0</v>
      </c>
      <c r="N1033">
        <v>2</v>
      </c>
      <c r="O1033">
        <v>1</v>
      </c>
      <c r="P1033">
        <v>0</v>
      </c>
      <c r="Q1033">
        <v>0</v>
      </c>
      <c r="S1033" t="str">
        <f>"13:59:05.828"</f>
        <v>13:59:05.828</v>
      </c>
      <c r="T1033" t="str">
        <f>"13:59:05.428"</f>
        <v>13:59:05.428</v>
      </c>
      <c r="U1033" t="str">
        <f t="shared" si="52"/>
        <v>A92BC1</v>
      </c>
      <c r="V1033">
        <v>0</v>
      </c>
      <c r="W1033">
        <v>0</v>
      </c>
      <c r="X1033">
        <v>2</v>
      </c>
      <c r="Z1033">
        <v>0</v>
      </c>
      <c r="AA1033">
        <v>9</v>
      </c>
      <c r="AB1033">
        <v>3</v>
      </c>
      <c r="AC1033">
        <v>0</v>
      </c>
      <c r="AD1033">
        <v>10</v>
      </c>
      <c r="AE1033">
        <v>0</v>
      </c>
      <c r="AF1033">
        <v>3</v>
      </c>
      <c r="AG1033">
        <v>2</v>
      </c>
      <c r="AH1033">
        <v>0</v>
      </c>
      <c r="AI1033" t="s">
        <v>1134</v>
      </c>
      <c r="AJ1033">
        <v>45.888627</v>
      </c>
      <c r="AK1033" t="s">
        <v>1135</v>
      </c>
      <c r="AL1033">
        <v>-89.101245000000006</v>
      </c>
      <c r="AM1033">
        <v>100</v>
      </c>
      <c r="AN1033">
        <v>15600</v>
      </c>
      <c r="AO1033" t="s">
        <v>118</v>
      </c>
      <c r="AP1033">
        <v>156</v>
      </c>
      <c r="AQ1033">
        <v>127</v>
      </c>
      <c r="AR1033">
        <v>64</v>
      </c>
      <c r="AZ1033">
        <v>1200</v>
      </c>
      <c r="BA1033">
        <v>1</v>
      </c>
      <c r="BB1033" t="str">
        <f t="shared" si="51"/>
        <v xml:space="preserve">N690LS  </v>
      </c>
      <c r="BC1033">
        <v>1</v>
      </c>
      <c r="BE1033">
        <v>0</v>
      </c>
      <c r="BF1033">
        <v>0</v>
      </c>
      <c r="BG1033">
        <v>0</v>
      </c>
      <c r="BH1033">
        <v>16100</v>
      </c>
      <c r="BI1033">
        <v>1</v>
      </c>
      <c r="BJ1033">
        <v>1</v>
      </c>
      <c r="BK1033">
        <v>1</v>
      </c>
      <c r="BL1033">
        <v>0</v>
      </c>
      <c r="BO1033">
        <v>0</v>
      </c>
      <c r="BP1033">
        <v>0</v>
      </c>
      <c r="BW1033" t="str">
        <f>"13:59:05.834"</f>
        <v>13:59:05.834</v>
      </c>
      <c r="CJ1033">
        <v>0</v>
      </c>
      <c r="CK1033">
        <v>2</v>
      </c>
      <c r="CL1033">
        <v>0</v>
      </c>
      <c r="CM1033">
        <v>2</v>
      </c>
      <c r="CN1033">
        <v>0</v>
      </c>
      <c r="CO1033">
        <v>7</v>
      </c>
      <c r="CP1033" t="s">
        <v>119</v>
      </c>
      <c r="CQ1033">
        <v>197</v>
      </c>
      <c r="CR1033">
        <v>1</v>
      </c>
      <c r="CW1033">
        <v>7539883</v>
      </c>
      <c r="CY1033">
        <v>1</v>
      </c>
      <c r="CZ1033">
        <v>0</v>
      </c>
      <c r="DA1033">
        <v>0</v>
      </c>
      <c r="DB1033">
        <v>0</v>
      </c>
      <c r="DC1033">
        <v>0</v>
      </c>
      <c r="DD1033">
        <v>1</v>
      </c>
      <c r="DE1033">
        <v>0</v>
      </c>
      <c r="DF1033">
        <v>0</v>
      </c>
      <c r="DG1033">
        <v>0</v>
      </c>
      <c r="DH1033">
        <v>0</v>
      </c>
      <c r="DI1033">
        <v>0</v>
      </c>
    </row>
    <row r="1034" spans="1:113" x14ac:dyDescent="0.3">
      <c r="A1034" t="str">
        <f>"09/28/2021 13:59:06.060"</f>
        <v>09/28/2021 13:59:06.060</v>
      </c>
      <c r="C1034" t="str">
        <f t="shared" si="50"/>
        <v>FFDFD3C0</v>
      </c>
      <c r="D1034" t="s">
        <v>113</v>
      </c>
      <c r="E1034">
        <v>7</v>
      </c>
      <c r="H1034">
        <v>170</v>
      </c>
      <c r="I1034" t="s">
        <v>114</v>
      </c>
      <c r="J1034" t="s">
        <v>115</v>
      </c>
      <c r="K1034">
        <v>0</v>
      </c>
      <c r="L1034">
        <v>3</v>
      </c>
      <c r="M1034">
        <v>0</v>
      </c>
      <c r="N1034">
        <v>2</v>
      </c>
      <c r="O1034">
        <v>1</v>
      </c>
      <c r="P1034">
        <v>0</v>
      </c>
      <c r="Q1034">
        <v>0</v>
      </c>
      <c r="S1034" t="str">
        <f>"13:59:05.828"</f>
        <v>13:59:05.828</v>
      </c>
      <c r="T1034" t="str">
        <f>"13:59:05.428"</f>
        <v>13:59:05.428</v>
      </c>
      <c r="U1034" t="str">
        <f t="shared" si="52"/>
        <v>A92BC1</v>
      </c>
      <c r="V1034">
        <v>0</v>
      </c>
      <c r="W1034">
        <v>0</v>
      </c>
      <c r="X1034">
        <v>2</v>
      </c>
      <c r="Z1034">
        <v>0</v>
      </c>
      <c r="AA1034">
        <v>9</v>
      </c>
      <c r="AB1034">
        <v>3</v>
      </c>
      <c r="AC1034">
        <v>0</v>
      </c>
      <c r="AD1034">
        <v>10</v>
      </c>
      <c r="AE1034">
        <v>0</v>
      </c>
      <c r="AF1034">
        <v>3</v>
      </c>
      <c r="AG1034">
        <v>2</v>
      </c>
      <c r="AH1034">
        <v>0</v>
      </c>
      <c r="AI1034" t="s">
        <v>1134</v>
      </c>
      <c r="AJ1034">
        <v>45.888627</v>
      </c>
      <c r="AK1034" t="s">
        <v>1135</v>
      </c>
      <c r="AL1034">
        <v>-89.101245000000006</v>
      </c>
      <c r="AM1034">
        <v>100</v>
      </c>
      <c r="AN1034">
        <v>15600</v>
      </c>
      <c r="AO1034" t="s">
        <v>118</v>
      </c>
      <c r="AP1034">
        <v>156</v>
      </c>
      <c r="AQ1034">
        <v>127</v>
      </c>
      <c r="AR1034">
        <v>64</v>
      </c>
      <c r="AZ1034">
        <v>1200</v>
      </c>
      <c r="BA1034">
        <v>1</v>
      </c>
      <c r="BB1034" t="str">
        <f t="shared" si="51"/>
        <v xml:space="preserve">N690LS  </v>
      </c>
      <c r="BC1034">
        <v>1</v>
      </c>
      <c r="BE1034">
        <v>0</v>
      </c>
      <c r="BF1034">
        <v>0</v>
      </c>
      <c r="BG1034">
        <v>0</v>
      </c>
      <c r="BH1034">
        <v>16100</v>
      </c>
      <c r="BI1034">
        <v>1</v>
      </c>
      <c r="BJ1034">
        <v>1</v>
      </c>
      <c r="BK1034">
        <v>1</v>
      </c>
      <c r="BL1034">
        <v>0</v>
      </c>
      <c r="BO1034">
        <v>0</v>
      </c>
      <c r="BP1034">
        <v>0</v>
      </c>
      <c r="BW1034" t="str">
        <f>"13:59:05.834"</f>
        <v>13:59:05.834</v>
      </c>
      <c r="CJ1034">
        <v>0</v>
      </c>
      <c r="CK1034">
        <v>2</v>
      </c>
      <c r="CL1034">
        <v>0</v>
      </c>
      <c r="CM1034">
        <v>2</v>
      </c>
      <c r="CN1034">
        <v>0</v>
      </c>
      <c r="CO1034">
        <v>7</v>
      </c>
      <c r="CP1034" t="s">
        <v>119</v>
      </c>
      <c r="CQ1034">
        <v>197</v>
      </c>
      <c r="CR1034">
        <v>1</v>
      </c>
      <c r="CW1034">
        <v>7539883</v>
      </c>
      <c r="CY1034">
        <v>1</v>
      </c>
      <c r="CZ1034">
        <v>0</v>
      </c>
      <c r="DA1034">
        <v>1</v>
      </c>
      <c r="DB1034">
        <v>0</v>
      </c>
      <c r="DC1034">
        <v>0</v>
      </c>
      <c r="DD1034">
        <v>1</v>
      </c>
      <c r="DE1034">
        <v>0</v>
      </c>
      <c r="DF1034">
        <v>0</v>
      </c>
      <c r="DG1034">
        <v>0</v>
      </c>
      <c r="DH1034">
        <v>0</v>
      </c>
      <c r="DI1034">
        <v>0</v>
      </c>
    </row>
    <row r="1035" spans="1:113" x14ac:dyDescent="0.3">
      <c r="A1035" t="str">
        <f>"09/28/2021 13:59:07.155"</f>
        <v>09/28/2021 13:59:07.155</v>
      </c>
      <c r="C1035" t="str">
        <f t="shared" si="50"/>
        <v>FFDFD3C0</v>
      </c>
      <c r="D1035" t="s">
        <v>113</v>
      </c>
      <c r="E1035">
        <v>7</v>
      </c>
      <c r="H1035">
        <v>170</v>
      </c>
      <c r="I1035" t="s">
        <v>114</v>
      </c>
      <c r="J1035" t="s">
        <v>115</v>
      </c>
      <c r="K1035">
        <v>0</v>
      </c>
      <c r="L1035">
        <v>3</v>
      </c>
      <c r="M1035">
        <v>0</v>
      </c>
      <c r="N1035">
        <v>2</v>
      </c>
      <c r="O1035">
        <v>1</v>
      </c>
      <c r="P1035">
        <v>0</v>
      </c>
      <c r="Q1035">
        <v>0</v>
      </c>
      <c r="S1035" t="str">
        <f>"13:59:06.953"</f>
        <v>13:59:06.953</v>
      </c>
      <c r="T1035" t="str">
        <f>"13:59:06.453"</f>
        <v>13:59:06.453</v>
      </c>
      <c r="U1035" t="str">
        <f t="shared" si="52"/>
        <v>A92BC1</v>
      </c>
      <c r="V1035">
        <v>0</v>
      </c>
      <c r="W1035">
        <v>0</v>
      </c>
      <c r="X1035">
        <v>2</v>
      </c>
      <c r="Z1035">
        <v>0</v>
      </c>
      <c r="AA1035">
        <v>9</v>
      </c>
      <c r="AB1035">
        <v>3</v>
      </c>
      <c r="AC1035">
        <v>0</v>
      </c>
      <c r="AD1035">
        <v>10</v>
      </c>
      <c r="AE1035">
        <v>0</v>
      </c>
      <c r="AF1035">
        <v>3</v>
      </c>
      <c r="AG1035">
        <v>2</v>
      </c>
      <c r="AH1035">
        <v>0</v>
      </c>
      <c r="AI1035" t="s">
        <v>1136</v>
      </c>
      <c r="AJ1035">
        <v>45.889249</v>
      </c>
      <c r="AK1035" t="s">
        <v>1137</v>
      </c>
      <c r="AL1035">
        <v>-89.100129999999993</v>
      </c>
      <c r="AM1035">
        <v>100</v>
      </c>
      <c r="AN1035">
        <v>15600</v>
      </c>
      <c r="AO1035" t="s">
        <v>118</v>
      </c>
      <c r="AP1035">
        <v>155</v>
      </c>
      <c r="AQ1035">
        <v>126</v>
      </c>
      <c r="AR1035">
        <v>0</v>
      </c>
      <c r="AZ1035">
        <v>1200</v>
      </c>
      <c r="BA1035">
        <v>1</v>
      </c>
      <c r="BB1035" t="str">
        <f t="shared" si="51"/>
        <v xml:space="preserve">N690LS  </v>
      </c>
      <c r="BC1035">
        <v>1</v>
      </c>
      <c r="BE1035">
        <v>0</v>
      </c>
      <c r="BF1035">
        <v>0</v>
      </c>
      <c r="BG1035">
        <v>0</v>
      </c>
      <c r="BH1035">
        <v>16100</v>
      </c>
      <c r="BI1035">
        <v>1</v>
      </c>
      <c r="BJ1035">
        <v>1</v>
      </c>
      <c r="BK1035">
        <v>1</v>
      </c>
      <c r="BL1035">
        <v>0</v>
      </c>
      <c r="BO1035">
        <v>0</v>
      </c>
      <c r="BP1035">
        <v>0</v>
      </c>
      <c r="BW1035" t="str">
        <f>"13:59:06.956"</f>
        <v>13:59:06.956</v>
      </c>
      <c r="CJ1035">
        <v>0</v>
      </c>
      <c r="CK1035">
        <v>2</v>
      </c>
      <c r="CL1035">
        <v>0</v>
      </c>
      <c r="CM1035">
        <v>2</v>
      </c>
      <c r="CN1035">
        <v>0</v>
      </c>
      <c r="CO1035">
        <v>7</v>
      </c>
      <c r="CP1035" t="s">
        <v>119</v>
      </c>
      <c r="CQ1035">
        <v>209</v>
      </c>
      <c r="CR1035">
        <v>3</v>
      </c>
      <c r="CW1035">
        <v>7271816</v>
      </c>
      <c r="CY1035">
        <v>1</v>
      </c>
      <c r="CZ1035">
        <v>0</v>
      </c>
      <c r="DA1035">
        <v>0</v>
      </c>
      <c r="DB1035">
        <v>0</v>
      </c>
      <c r="DC1035">
        <v>0</v>
      </c>
      <c r="DD1035">
        <v>1</v>
      </c>
      <c r="DE1035">
        <v>0</v>
      </c>
      <c r="DF1035">
        <v>0</v>
      </c>
      <c r="DG1035">
        <v>0</v>
      </c>
      <c r="DH1035">
        <v>0</v>
      </c>
      <c r="DI1035">
        <v>0</v>
      </c>
    </row>
    <row r="1036" spans="1:113" x14ac:dyDescent="0.3">
      <c r="A1036" t="str">
        <f>"09/28/2021 13:59:07.186"</f>
        <v>09/28/2021 13:59:07.186</v>
      </c>
      <c r="C1036" t="str">
        <f t="shared" si="50"/>
        <v>FFDFD3C0</v>
      </c>
      <c r="D1036" t="s">
        <v>120</v>
      </c>
      <c r="E1036">
        <v>12</v>
      </c>
      <c r="F1036">
        <v>1012</v>
      </c>
      <c r="G1036" t="s">
        <v>114</v>
      </c>
      <c r="J1036" t="s">
        <v>121</v>
      </c>
      <c r="K1036">
        <v>0</v>
      </c>
      <c r="L1036">
        <v>3</v>
      </c>
      <c r="M1036">
        <v>0</v>
      </c>
      <c r="N1036">
        <v>2</v>
      </c>
      <c r="O1036">
        <v>1</v>
      </c>
      <c r="P1036">
        <v>0</v>
      </c>
      <c r="Q1036">
        <v>0</v>
      </c>
      <c r="S1036" t="str">
        <f>"13:59:06.953"</f>
        <v>13:59:06.953</v>
      </c>
      <c r="T1036" t="str">
        <f>"13:59:06.453"</f>
        <v>13:59:06.453</v>
      </c>
      <c r="U1036" t="str">
        <f t="shared" si="52"/>
        <v>A92BC1</v>
      </c>
      <c r="V1036">
        <v>0</v>
      </c>
      <c r="W1036">
        <v>0</v>
      </c>
      <c r="X1036">
        <v>2</v>
      </c>
      <c r="Z1036">
        <v>0</v>
      </c>
      <c r="AA1036">
        <v>9</v>
      </c>
      <c r="AB1036">
        <v>3</v>
      </c>
      <c r="AC1036">
        <v>0</v>
      </c>
      <c r="AD1036">
        <v>10</v>
      </c>
      <c r="AE1036">
        <v>0</v>
      </c>
      <c r="AF1036">
        <v>3</v>
      </c>
      <c r="AG1036">
        <v>2</v>
      </c>
      <c r="AH1036">
        <v>0</v>
      </c>
      <c r="AI1036" t="s">
        <v>1136</v>
      </c>
      <c r="AJ1036">
        <v>45.889249</v>
      </c>
      <c r="AK1036" t="s">
        <v>1137</v>
      </c>
      <c r="AL1036">
        <v>-89.100129999999993</v>
      </c>
      <c r="AM1036">
        <v>100</v>
      </c>
      <c r="AN1036">
        <v>15600</v>
      </c>
      <c r="AO1036" t="s">
        <v>118</v>
      </c>
      <c r="AP1036">
        <v>155</v>
      </c>
      <c r="AQ1036">
        <v>126</v>
      </c>
      <c r="AR1036">
        <v>0</v>
      </c>
      <c r="AZ1036">
        <v>1200</v>
      </c>
      <c r="BA1036">
        <v>1</v>
      </c>
      <c r="BB1036" t="str">
        <f t="shared" si="51"/>
        <v xml:space="preserve">N690LS  </v>
      </c>
      <c r="BC1036">
        <v>1</v>
      </c>
      <c r="BE1036">
        <v>0</v>
      </c>
      <c r="BF1036">
        <v>0</v>
      </c>
      <c r="BG1036">
        <v>0</v>
      </c>
      <c r="BH1036">
        <v>16100</v>
      </c>
      <c r="BI1036">
        <v>1</v>
      </c>
      <c r="BJ1036">
        <v>1</v>
      </c>
      <c r="BK1036">
        <v>1</v>
      </c>
      <c r="BL1036">
        <v>0</v>
      </c>
      <c r="BO1036">
        <v>0</v>
      </c>
      <c r="BP1036">
        <v>0</v>
      </c>
      <c r="BW1036" t="str">
        <f>"13:59:06.956"</f>
        <v>13:59:06.956</v>
      </c>
      <c r="CJ1036">
        <v>0</v>
      </c>
      <c r="CK1036">
        <v>2</v>
      </c>
      <c r="CL1036">
        <v>0</v>
      </c>
      <c r="CM1036">
        <v>2</v>
      </c>
      <c r="CN1036">
        <v>0</v>
      </c>
      <c r="CO1036">
        <v>7</v>
      </c>
      <c r="CP1036" t="s">
        <v>119</v>
      </c>
      <c r="CQ1036">
        <v>209</v>
      </c>
      <c r="CR1036">
        <v>3</v>
      </c>
      <c r="CW1036">
        <v>7271816</v>
      </c>
      <c r="CY1036">
        <v>1</v>
      </c>
      <c r="CZ1036">
        <v>0</v>
      </c>
      <c r="DA1036">
        <v>1</v>
      </c>
      <c r="DB1036">
        <v>0</v>
      </c>
      <c r="DC1036">
        <v>0</v>
      </c>
      <c r="DD1036">
        <v>1</v>
      </c>
      <c r="DE1036">
        <v>0</v>
      </c>
      <c r="DF1036">
        <v>0</v>
      </c>
      <c r="DG1036">
        <v>0</v>
      </c>
      <c r="DH1036">
        <v>0</v>
      </c>
      <c r="DI1036">
        <v>0</v>
      </c>
    </row>
    <row r="1037" spans="1:113" x14ac:dyDescent="0.3">
      <c r="A1037" t="str">
        <f>"09/28/2021 13:59:08.140"</f>
        <v>09/28/2021 13:59:08.140</v>
      </c>
      <c r="C1037" t="str">
        <f t="shared" si="50"/>
        <v>FFDFD3C0</v>
      </c>
      <c r="D1037" t="s">
        <v>120</v>
      </c>
      <c r="E1037">
        <v>12</v>
      </c>
      <c r="F1037">
        <v>1012</v>
      </c>
      <c r="G1037" t="s">
        <v>114</v>
      </c>
      <c r="J1037" t="s">
        <v>121</v>
      </c>
      <c r="K1037">
        <v>0</v>
      </c>
      <c r="L1037">
        <v>3</v>
      </c>
      <c r="M1037">
        <v>0</v>
      </c>
      <c r="N1037">
        <v>2</v>
      </c>
      <c r="O1037">
        <v>1</v>
      </c>
      <c r="P1037">
        <v>0</v>
      </c>
      <c r="Q1037">
        <v>0</v>
      </c>
      <c r="S1037" t="str">
        <f>"13:59:07.922"</f>
        <v>13:59:07.922</v>
      </c>
      <c r="T1037" t="str">
        <f>"13:59:07.422"</f>
        <v>13:59:07.422</v>
      </c>
      <c r="U1037" t="str">
        <f t="shared" si="52"/>
        <v>A92BC1</v>
      </c>
      <c r="V1037">
        <v>0</v>
      </c>
      <c r="W1037">
        <v>0</v>
      </c>
      <c r="X1037">
        <v>2</v>
      </c>
      <c r="Z1037">
        <v>0</v>
      </c>
      <c r="AA1037">
        <v>9</v>
      </c>
      <c r="AB1037">
        <v>3</v>
      </c>
      <c r="AC1037">
        <v>0</v>
      </c>
      <c r="AD1037">
        <v>10</v>
      </c>
      <c r="AE1037">
        <v>0</v>
      </c>
      <c r="AF1037">
        <v>3</v>
      </c>
      <c r="AG1037">
        <v>2</v>
      </c>
      <c r="AH1037">
        <v>0</v>
      </c>
      <c r="AI1037" t="s">
        <v>1138</v>
      </c>
      <c r="AJ1037">
        <v>45.889741999999998</v>
      </c>
      <c r="AK1037" t="s">
        <v>1139</v>
      </c>
      <c r="AL1037">
        <v>-89.099185000000006</v>
      </c>
      <c r="AM1037">
        <v>100</v>
      </c>
      <c r="AN1037">
        <v>15600</v>
      </c>
      <c r="AO1037" t="s">
        <v>118</v>
      </c>
      <c r="AP1037">
        <v>154</v>
      </c>
      <c r="AQ1037">
        <v>125</v>
      </c>
      <c r="AR1037">
        <v>0</v>
      </c>
      <c r="AZ1037">
        <v>1200</v>
      </c>
      <c r="BA1037">
        <v>1</v>
      </c>
      <c r="BB1037" t="str">
        <f t="shared" si="51"/>
        <v xml:space="preserve">N690LS  </v>
      </c>
      <c r="BC1037">
        <v>1</v>
      </c>
      <c r="BE1037">
        <v>0</v>
      </c>
      <c r="BF1037">
        <v>0</v>
      </c>
      <c r="BG1037">
        <v>0</v>
      </c>
      <c r="BH1037">
        <v>16100</v>
      </c>
      <c r="BI1037">
        <v>1</v>
      </c>
      <c r="BJ1037">
        <v>1</v>
      </c>
      <c r="BK1037">
        <v>1</v>
      </c>
      <c r="BL1037">
        <v>0</v>
      </c>
      <c r="BO1037">
        <v>0</v>
      </c>
      <c r="BP1037">
        <v>0</v>
      </c>
      <c r="BW1037" t="str">
        <f>"13:59:07.923"</f>
        <v>13:59:07.923</v>
      </c>
      <c r="CJ1037">
        <v>0</v>
      </c>
      <c r="CK1037">
        <v>2</v>
      </c>
      <c r="CL1037">
        <v>0</v>
      </c>
      <c r="CM1037">
        <v>2</v>
      </c>
      <c r="CN1037">
        <v>0</v>
      </c>
      <c r="CO1037">
        <v>7</v>
      </c>
      <c r="CP1037" t="s">
        <v>119</v>
      </c>
      <c r="CQ1037">
        <v>209</v>
      </c>
      <c r="CR1037">
        <v>3</v>
      </c>
      <c r="CW1037">
        <v>7272120</v>
      </c>
      <c r="CY1037">
        <v>1</v>
      </c>
      <c r="CZ1037">
        <v>0</v>
      </c>
      <c r="DA1037">
        <v>0</v>
      </c>
      <c r="DB1037">
        <v>0</v>
      </c>
      <c r="DC1037">
        <v>0</v>
      </c>
      <c r="DD1037">
        <v>1</v>
      </c>
      <c r="DE1037">
        <v>0</v>
      </c>
      <c r="DF1037">
        <v>0</v>
      </c>
      <c r="DG1037">
        <v>0</v>
      </c>
      <c r="DH1037">
        <v>0</v>
      </c>
      <c r="DI1037">
        <v>0</v>
      </c>
    </row>
    <row r="1038" spans="1:113" x14ac:dyDescent="0.3">
      <c r="A1038" t="str">
        <f>"09/28/2021 13:59:08.171"</f>
        <v>09/28/2021 13:59:08.171</v>
      </c>
      <c r="C1038" t="str">
        <f t="shared" si="50"/>
        <v>FFDFD3C0</v>
      </c>
      <c r="D1038" t="s">
        <v>113</v>
      </c>
      <c r="E1038">
        <v>7</v>
      </c>
      <c r="H1038">
        <v>170</v>
      </c>
      <c r="I1038" t="s">
        <v>114</v>
      </c>
      <c r="J1038" t="s">
        <v>115</v>
      </c>
      <c r="K1038">
        <v>0</v>
      </c>
      <c r="L1038">
        <v>3</v>
      </c>
      <c r="M1038">
        <v>0</v>
      </c>
      <c r="N1038">
        <v>2</v>
      </c>
      <c r="O1038">
        <v>1</v>
      </c>
      <c r="P1038">
        <v>0</v>
      </c>
      <c r="Q1038">
        <v>0</v>
      </c>
      <c r="S1038" t="str">
        <f>"13:59:07.922"</f>
        <v>13:59:07.922</v>
      </c>
      <c r="T1038" t="str">
        <f>"13:59:07.422"</f>
        <v>13:59:07.422</v>
      </c>
      <c r="U1038" t="str">
        <f t="shared" si="52"/>
        <v>A92BC1</v>
      </c>
      <c r="V1038">
        <v>0</v>
      </c>
      <c r="W1038">
        <v>0</v>
      </c>
      <c r="X1038">
        <v>2</v>
      </c>
      <c r="Z1038">
        <v>0</v>
      </c>
      <c r="AA1038">
        <v>9</v>
      </c>
      <c r="AB1038">
        <v>3</v>
      </c>
      <c r="AC1038">
        <v>0</v>
      </c>
      <c r="AD1038">
        <v>10</v>
      </c>
      <c r="AE1038">
        <v>0</v>
      </c>
      <c r="AF1038">
        <v>3</v>
      </c>
      <c r="AG1038">
        <v>2</v>
      </c>
      <c r="AH1038">
        <v>0</v>
      </c>
      <c r="AI1038" t="s">
        <v>1138</v>
      </c>
      <c r="AJ1038">
        <v>45.889741999999998</v>
      </c>
      <c r="AK1038" t="s">
        <v>1139</v>
      </c>
      <c r="AL1038">
        <v>-89.099185000000006</v>
      </c>
      <c r="AM1038">
        <v>100</v>
      </c>
      <c r="AN1038">
        <v>15600</v>
      </c>
      <c r="AO1038" t="s">
        <v>118</v>
      </c>
      <c r="AP1038">
        <v>154</v>
      </c>
      <c r="AQ1038">
        <v>125</v>
      </c>
      <c r="AR1038">
        <v>0</v>
      </c>
      <c r="AZ1038">
        <v>1200</v>
      </c>
      <c r="BA1038">
        <v>1</v>
      </c>
      <c r="BB1038" t="str">
        <f t="shared" si="51"/>
        <v xml:space="preserve">N690LS  </v>
      </c>
      <c r="BC1038">
        <v>1</v>
      </c>
      <c r="BE1038">
        <v>0</v>
      </c>
      <c r="BF1038">
        <v>0</v>
      </c>
      <c r="BG1038">
        <v>0</v>
      </c>
      <c r="BH1038">
        <v>16100</v>
      </c>
      <c r="BI1038">
        <v>1</v>
      </c>
      <c r="BJ1038">
        <v>1</v>
      </c>
      <c r="BK1038">
        <v>1</v>
      </c>
      <c r="BL1038">
        <v>0</v>
      </c>
      <c r="BO1038">
        <v>0</v>
      </c>
      <c r="BP1038">
        <v>0</v>
      </c>
      <c r="BW1038" t="str">
        <f>"13:59:07.923"</f>
        <v>13:59:07.923</v>
      </c>
      <c r="CJ1038">
        <v>0</v>
      </c>
      <c r="CK1038">
        <v>2</v>
      </c>
      <c r="CL1038">
        <v>0</v>
      </c>
      <c r="CM1038">
        <v>2</v>
      </c>
      <c r="CN1038">
        <v>0</v>
      </c>
      <c r="CO1038">
        <v>7</v>
      </c>
      <c r="CP1038" t="s">
        <v>119</v>
      </c>
      <c r="CQ1038">
        <v>209</v>
      </c>
      <c r="CR1038">
        <v>3</v>
      </c>
      <c r="CW1038">
        <v>7272120</v>
      </c>
      <c r="CY1038">
        <v>1</v>
      </c>
      <c r="CZ1038">
        <v>0</v>
      </c>
      <c r="DA1038">
        <v>1</v>
      </c>
      <c r="DB1038">
        <v>0</v>
      </c>
      <c r="DC1038">
        <v>0</v>
      </c>
      <c r="DD1038">
        <v>1</v>
      </c>
      <c r="DE1038">
        <v>0</v>
      </c>
      <c r="DF1038">
        <v>0</v>
      </c>
      <c r="DG1038">
        <v>0</v>
      </c>
      <c r="DH1038">
        <v>0</v>
      </c>
      <c r="DI1038">
        <v>0</v>
      </c>
    </row>
    <row r="1039" spans="1:113" x14ac:dyDescent="0.3">
      <c r="A1039" t="str">
        <f>"09/28/2021 13:59:09.171"</f>
        <v>09/28/2021 13:59:09.171</v>
      </c>
      <c r="C1039" t="str">
        <f t="shared" si="50"/>
        <v>FFDFD3C0</v>
      </c>
      <c r="D1039" t="s">
        <v>120</v>
      </c>
      <c r="E1039">
        <v>12</v>
      </c>
      <c r="F1039">
        <v>1012</v>
      </c>
      <c r="G1039" t="s">
        <v>114</v>
      </c>
      <c r="J1039" t="s">
        <v>121</v>
      </c>
      <c r="K1039">
        <v>0</v>
      </c>
      <c r="L1039">
        <v>3</v>
      </c>
      <c r="M1039">
        <v>0</v>
      </c>
      <c r="N1039">
        <v>2</v>
      </c>
      <c r="O1039">
        <v>1</v>
      </c>
      <c r="P1039">
        <v>0</v>
      </c>
      <c r="Q1039">
        <v>0</v>
      </c>
      <c r="S1039" t="str">
        <f>"13:59:08.953"</f>
        <v>13:59:08.953</v>
      </c>
      <c r="T1039" t="str">
        <f>"13:59:08.453"</f>
        <v>13:59:08.453</v>
      </c>
      <c r="U1039" t="str">
        <f t="shared" si="52"/>
        <v>A92BC1</v>
      </c>
      <c r="V1039">
        <v>0</v>
      </c>
      <c r="W1039">
        <v>0</v>
      </c>
      <c r="X1039">
        <v>2</v>
      </c>
      <c r="Z1039">
        <v>0</v>
      </c>
      <c r="AA1039">
        <v>9</v>
      </c>
      <c r="AB1039">
        <v>3</v>
      </c>
      <c r="AC1039">
        <v>0</v>
      </c>
      <c r="AD1039">
        <v>10</v>
      </c>
      <c r="AE1039">
        <v>0</v>
      </c>
      <c r="AF1039">
        <v>3</v>
      </c>
      <c r="AG1039">
        <v>2</v>
      </c>
      <c r="AH1039">
        <v>0</v>
      </c>
      <c r="AI1039" t="s">
        <v>1140</v>
      </c>
      <c r="AJ1039">
        <v>45.890385999999999</v>
      </c>
      <c r="AK1039" t="s">
        <v>1141</v>
      </c>
      <c r="AL1039">
        <v>-89.098112999999998</v>
      </c>
      <c r="AM1039">
        <v>100</v>
      </c>
      <c r="AN1039">
        <v>15600</v>
      </c>
      <c r="AO1039" t="s">
        <v>118</v>
      </c>
      <c r="AP1039">
        <v>153</v>
      </c>
      <c r="AQ1039">
        <v>125</v>
      </c>
      <c r="AR1039">
        <v>0</v>
      </c>
      <c r="AZ1039">
        <v>1200</v>
      </c>
      <c r="BA1039">
        <v>1</v>
      </c>
      <c r="BB1039" t="str">
        <f t="shared" si="51"/>
        <v xml:space="preserve">N690LS  </v>
      </c>
      <c r="BC1039">
        <v>1</v>
      </c>
      <c r="BE1039">
        <v>0</v>
      </c>
      <c r="BF1039">
        <v>0</v>
      </c>
      <c r="BG1039">
        <v>0</v>
      </c>
      <c r="BH1039">
        <v>16100</v>
      </c>
      <c r="BI1039">
        <v>1</v>
      </c>
      <c r="BJ1039">
        <v>1</v>
      </c>
      <c r="BK1039">
        <v>1</v>
      </c>
      <c r="BL1039">
        <v>0</v>
      </c>
      <c r="BO1039">
        <v>0</v>
      </c>
      <c r="BP1039">
        <v>0</v>
      </c>
      <c r="BW1039" t="str">
        <f>"13:59:08.960"</f>
        <v>13:59:08.960</v>
      </c>
      <c r="CJ1039">
        <v>0</v>
      </c>
      <c r="CK1039">
        <v>2</v>
      </c>
      <c r="CL1039">
        <v>0</v>
      </c>
      <c r="CM1039">
        <v>2</v>
      </c>
      <c r="CN1039">
        <v>0</v>
      </c>
      <c r="CO1039">
        <v>7</v>
      </c>
      <c r="CP1039" t="s">
        <v>119</v>
      </c>
      <c r="CQ1039">
        <v>209</v>
      </c>
      <c r="CR1039">
        <v>3</v>
      </c>
      <c r="CW1039">
        <v>7272471</v>
      </c>
      <c r="CY1039">
        <v>1</v>
      </c>
      <c r="CZ1039">
        <v>0</v>
      </c>
      <c r="DA1039">
        <v>0</v>
      </c>
      <c r="DB1039">
        <v>0</v>
      </c>
      <c r="DC1039">
        <v>0</v>
      </c>
      <c r="DD1039">
        <v>1</v>
      </c>
      <c r="DE1039">
        <v>0</v>
      </c>
      <c r="DF1039">
        <v>0</v>
      </c>
      <c r="DG1039">
        <v>0</v>
      </c>
      <c r="DH1039">
        <v>0</v>
      </c>
      <c r="DI1039">
        <v>0</v>
      </c>
    </row>
    <row r="1040" spans="1:113" x14ac:dyDescent="0.3">
      <c r="A1040" t="str">
        <f>"09/28/2021 13:59:09.171"</f>
        <v>09/28/2021 13:59:09.171</v>
      </c>
      <c r="C1040" t="str">
        <f t="shared" si="50"/>
        <v>FFDFD3C0</v>
      </c>
      <c r="D1040" t="s">
        <v>113</v>
      </c>
      <c r="E1040">
        <v>7</v>
      </c>
      <c r="H1040">
        <v>170</v>
      </c>
      <c r="I1040" t="s">
        <v>114</v>
      </c>
      <c r="J1040" t="s">
        <v>115</v>
      </c>
      <c r="K1040">
        <v>0</v>
      </c>
      <c r="L1040">
        <v>3</v>
      </c>
      <c r="M1040">
        <v>0</v>
      </c>
      <c r="N1040">
        <v>2</v>
      </c>
      <c r="O1040">
        <v>1</v>
      </c>
      <c r="P1040">
        <v>0</v>
      </c>
      <c r="Q1040">
        <v>0</v>
      </c>
      <c r="S1040" t="str">
        <f>"13:59:08.953"</f>
        <v>13:59:08.953</v>
      </c>
      <c r="T1040" t="str">
        <f>"13:59:08.453"</f>
        <v>13:59:08.453</v>
      </c>
      <c r="U1040" t="str">
        <f t="shared" si="52"/>
        <v>A92BC1</v>
      </c>
      <c r="V1040">
        <v>0</v>
      </c>
      <c r="W1040">
        <v>0</v>
      </c>
      <c r="X1040">
        <v>2</v>
      </c>
      <c r="Z1040">
        <v>0</v>
      </c>
      <c r="AA1040">
        <v>9</v>
      </c>
      <c r="AB1040">
        <v>3</v>
      </c>
      <c r="AC1040">
        <v>0</v>
      </c>
      <c r="AD1040">
        <v>10</v>
      </c>
      <c r="AE1040">
        <v>0</v>
      </c>
      <c r="AF1040">
        <v>3</v>
      </c>
      <c r="AG1040">
        <v>2</v>
      </c>
      <c r="AH1040">
        <v>0</v>
      </c>
      <c r="AI1040" t="s">
        <v>1140</v>
      </c>
      <c r="AJ1040">
        <v>45.890385999999999</v>
      </c>
      <c r="AK1040" t="s">
        <v>1141</v>
      </c>
      <c r="AL1040">
        <v>-89.098112999999998</v>
      </c>
      <c r="AM1040">
        <v>100</v>
      </c>
      <c r="AN1040">
        <v>15600</v>
      </c>
      <c r="AO1040" t="s">
        <v>118</v>
      </c>
      <c r="AP1040">
        <v>153</v>
      </c>
      <c r="AQ1040">
        <v>125</v>
      </c>
      <c r="AR1040">
        <v>0</v>
      </c>
      <c r="AZ1040">
        <v>1200</v>
      </c>
      <c r="BA1040">
        <v>1</v>
      </c>
      <c r="BB1040" t="str">
        <f t="shared" si="51"/>
        <v xml:space="preserve">N690LS  </v>
      </c>
      <c r="BC1040">
        <v>1</v>
      </c>
      <c r="BE1040">
        <v>0</v>
      </c>
      <c r="BF1040">
        <v>0</v>
      </c>
      <c r="BG1040">
        <v>0</v>
      </c>
      <c r="BH1040">
        <v>16100</v>
      </c>
      <c r="BI1040">
        <v>1</v>
      </c>
      <c r="BJ1040">
        <v>1</v>
      </c>
      <c r="BK1040">
        <v>1</v>
      </c>
      <c r="BL1040">
        <v>0</v>
      </c>
      <c r="BO1040">
        <v>0</v>
      </c>
      <c r="BP1040">
        <v>0</v>
      </c>
      <c r="BW1040" t="str">
        <f>"13:59:08.960"</f>
        <v>13:59:08.960</v>
      </c>
      <c r="CJ1040">
        <v>0</v>
      </c>
      <c r="CK1040">
        <v>2</v>
      </c>
      <c r="CL1040">
        <v>0</v>
      </c>
      <c r="CM1040">
        <v>2</v>
      </c>
      <c r="CN1040">
        <v>0</v>
      </c>
      <c r="CO1040">
        <v>7</v>
      </c>
      <c r="CP1040" t="s">
        <v>119</v>
      </c>
      <c r="CQ1040">
        <v>209</v>
      </c>
      <c r="CR1040">
        <v>3</v>
      </c>
      <c r="CW1040">
        <v>7272471</v>
      </c>
      <c r="CY1040">
        <v>1</v>
      </c>
      <c r="CZ1040">
        <v>0</v>
      </c>
      <c r="DA1040">
        <v>1</v>
      </c>
      <c r="DB1040">
        <v>0</v>
      </c>
      <c r="DC1040">
        <v>0</v>
      </c>
      <c r="DD1040">
        <v>1</v>
      </c>
      <c r="DE1040">
        <v>0</v>
      </c>
      <c r="DF1040">
        <v>0</v>
      </c>
      <c r="DG1040">
        <v>0</v>
      </c>
      <c r="DH1040">
        <v>0</v>
      </c>
      <c r="DI1040">
        <v>0</v>
      </c>
    </row>
    <row r="1041" spans="1:113" x14ac:dyDescent="0.3">
      <c r="A1041" t="str">
        <f>"09/28/2021 13:59:10.172"</f>
        <v>09/28/2021 13:59:10.172</v>
      </c>
      <c r="C1041" t="str">
        <f t="shared" si="50"/>
        <v>FFDFD3C0</v>
      </c>
      <c r="D1041" t="s">
        <v>113</v>
      </c>
      <c r="E1041">
        <v>7</v>
      </c>
      <c r="H1041">
        <v>170</v>
      </c>
      <c r="I1041" t="s">
        <v>114</v>
      </c>
      <c r="J1041" t="s">
        <v>115</v>
      </c>
      <c r="K1041">
        <v>0</v>
      </c>
      <c r="L1041">
        <v>3</v>
      </c>
      <c r="M1041">
        <v>0</v>
      </c>
      <c r="N1041">
        <v>2</v>
      </c>
      <c r="O1041">
        <v>1</v>
      </c>
      <c r="P1041">
        <v>0</v>
      </c>
      <c r="Q1041">
        <v>0</v>
      </c>
      <c r="S1041" t="str">
        <f>"13:59:09.984"</f>
        <v>13:59:09.984</v>
      </c>
      <c r="T1041" t="str">
        <f>"13:59:09.584"</f>
        <v>13:59:09.584</v>
      </c>
      <c r="U1041" t="str">
        <f t="shared" si="52"/>
        <v>A92BC1</v>
      </c>
      <c r="V1041">
        <v>0</v>
      </c>
      <c r="W1041">
        <v>0</v>
      </c>
      <c r="X1041">
        <v>2</v>
      </c>
      <c r="Z1041">
        <v>0</v>
      </c>
      <c r="AA1041">
        <v>9</v>
      </c>
      <c r="AB1041">
        <v>3</v>
      </c>
      <c r="AC1041">
        <v>0</v>
      </c>
      <c r="AD1041">
        <v>10</v>
      </c>
      <c r="AE1041">
        <v>0</v>
      </c>
      <c r="AF1041">
        <v>3</v>
      </c>
      <c r="AG1041">
        <v>2</v>
      </c>
      <c r="AH1041">
        <v>0</v>
      </c>
      <c r="AI1041" t="s">
        <v>1142</v>
      </c>
      <c r="AJ1041">
        <v>45.890987000000003</v>
      </c>
      <c r="AK1041" t="s">
        <v>1143</v>
      </c>
      <c r="AL1041">
        <v>-89.097104000000002</v>
      </c>
      <c r="AM1041">
        <v>100</v>
      </c>
      <c r="AN1041">
        <v>15600</v>
      </c>
      <c r="AO1041" t="s">
        <v>118</v>
      </c>
      <c r="AP1041">
        <v>152</v>
      </c>
      <c r="AQ1041">
        <v>124</v>
      </c>
      <c r="AR1041">
        <v>0</v>
      </c>
      <c r="AZ1041">
        <v>1200</v>
      </c>
      <c r="BA1041">
        <v>1</v>
      </c>
      <c r="BB1041" t="str">
        <f t="shared" si="51"/>
        <v xml:space="preserve">N690LS  </v>
      </c>
      <c r="BC1041">
        <v>1</v>
      </c>
      <c r="BE1041">
        <v>0</v>
      </c>
      <c r="BF1041">
        <v>0</v>
      </c>
      <c r="BG1041">
        <v>0</v>
      </c>
      <c r="BH1041">
        <v>16100</v>
      </c>
      <c r="BI1041">
        <v>1</v>
      </c>
      <c r="BJ1041">
        <v>1</v>
      </c>
      <c r="BK1041">
        <v>1</v>
      </c>
      <c r="BL1041">
        <v>0</v>
      </c>
      <c r="BO1041">
        <v>0</v>
      </c>
      <c r="BP1041">
        <v>0</v>
      </c>
      <c r="BW1041" t="str">
        <f>"13:59:09.992"</f>
        <v>13:59:09.992</v>
      </c>
      <c r="CJ1041">
        <v>0</v>
      </c>
      <c r="CK1041">
        <v>2</v>
      </c>
      <c r="CL1041">
        <v>0</v>
      </c>
      <c r="CM1041">
        <v>2</v>
      </c>
      <c r="CN1041">
        <v>0</v>
      </c>
      <c r="CO1041">
        <v>7</v>
      </c>
      <c r="CP1041" t="s">
        <v>119</v>
      </c>
      <c r="CQ1041">
        <v>209</v>
      </c>
      <c r="CR1041">
        <v>3</v>
      </c>
      <c r="CW1041">
        <v>7272781</v>
      </c>
      <c r="CY1041">
        <v>1</v>
      </c>
      <c r="CZ1041">
        <v>0</v>
      </c>
      <c r="DA1041">
        <v>0</v>
      </c>
      <c r="DB1041">
        <v>0</v>
      </c>
      <c r="DC1041">
        <v>0</v>
      </c>
      <c r="DD1041">
        <v>1</v>
      </c>
      <c r="DE1041">
        <v>0</v>
      </c>
      <c r="DF1041">
        <v>0</v>
      </c>
      <c r="DG1041">
        <v>0</v>
      </c>
      <c r="DH1041">
        <v>0</v>
      </c>
      <c r="DI1041">
        <v>0</v>
      </c>
    </row>
    <row r="1042" spans="1:113" x14ac:dyDescent="0.3">
      <c r="A1042" t="str">
        <f>"09/28/2021 13:59:10.266"</f>
        <v>09/28/2021 13:59:10.266</v>
      </c>
      <c r="C1042" t="str">
        <f t="shared" si="50"/>
        <v>FFDFD3C0</v>
      </c>
      <c r="D1042" t="s">
        <v>120</v>
      </c>
      <c r="E1042">
        <v>12</v>
      </c>
      <c r="F1042">
        <v>1012</v>
      </c>
      <c r="G1042" t="s">
        <v>114</v>
      </c>
      <c r="J1042" t="s">
        <v>121</v>
      </c>
      <c r="K1042">
        <v>0</v>
      </c>
      <c r="L1042">
        <v>3</v>
      </c>
      <c r="M1042">
        <v>0</v>
      </c>
      <c r="N1042">
        <v>2</v>
      </c>
      <c r="O1042">
        <v>1</v>
      </c>
      <c r="P1042">
        <v>0</v>
      </c>
      <c r="Q1042">
        <v>0</v>
      </c>
      <c r="S1042" t="str">
        <f>"13:59:09.984"</f>
        <v>13:59:09.984</v>
      </c>
      <c r="T1042" t="str">
        <f>"13:59:09.584"</f>
        <v>13:59:09.584</v>
      </c>
      <c r="U1042" t="str">
        <f t="shared" si="52"/>
        <v>A92BC1</v>
      </c>
      <c r="V1042">
        <v>0</v>
      </c>
      <c r="W1042">
        <v>0</v>
      </c>
      <c r="X1042">
        <v>2</v>
      </c>
      <c r="Z1042">
        <v>0</v>
      </c>
      <c r="AA1042">
        <v>9</v>
      </c>
      <c r="AB1042">
        <v>3</v>
      </c>
      <c r="AC1042">
        <v>0</v>
      </c>
      <c r="AD1042">
        <v>10</v>
      </c>
      <c r="AE1042">
        <v>0</v>
      </c>
      <c r="AF1042">
        <v>3</v>
      </c>
      <c r="AG1042">
        <v>2</v>
      </c>
      <c r="AH1042">
        <v>0</v>
      </c>
      <c r="AI1042" t="s">
        <v>1142</v>
      </c>
      <c r="AJ1042">
        <v>45.890987000000003</v>
      </c>
      <c r="AK1042" t="s">
        <v>1143</v>
      </c>
      <c r="AL1042">
        <v>-89.097104000000002</v>
      </c>
      <c r="AM1042">
        <v>100</v>
      </c>
      <c r="AN1042">
        <v>15600</v>
      </c>
      <c r="AO1042" t="s">
        <v>118</v>
      </c>
      <c r="AP1042">
        <v>152</v>
      </c>
      <c r="AQ1042">
        <v>124</v>
      </c>
      <c r="AR1042">
        <v>0</v>
      </c>
      <c r="AZ1042">
        <v>1200</v>
      </c>
      <c r="BA1042">
        <v>1</v>
      </c>
      <c r="BB1042" t="str">
        <f t="shared" si="51"/>
        <v xml:space="preserve">N690LS  </v>
      </c>
      <c r="BC1042">
        <v>1</v>
      </c>
      <c r="BE1042">
        <v>0</v>
      </c>
      <c r="BF1042">
        <v>0</v>
      </c>
      <c r="BG1042">
        <v>0</v>
      </c>
      <c r="BH1042">
        <v>16100</v>
      </c>
      <c r="BI1042">
        <v>1</v>
      </c>
      <c r="BJ1042">
        <v>1</v>
      </c>
      <c r="BK1042">
        <v>1</v>
      </c>
      <c r="BL1042">
        <v>0</v>
      </c>
      <c r="BO1042">
        <v>0</v>
      </c>
      <c r="BP1042">
        <v>0</v>
      </c>
      <c r="BW1042" t="str">
        <f>"13:59:09.992"</f>
        <v>13:59:09.992</v>
      </c>
      <c r="CJ1042">
        <v>0</v>
      </c>
      <c r="CK1042">
        <v>2</v>
      </c>
      <c r="CL1042">
        <v>0</v>
      </c>
      <c r="CM1042">
        <v>2</v>
      </c>
      <c r="CN1042">
        <v>0</v>
      </c>
      <c r="CO1042">
        <v>7</v>
      </c>
      <c r="CP1042" t="s">
        <v>119</v>
      </c>
      <c r="CQ1042">
        <v>209</v>
      </c>
      <c r="CR1042">
        <v>3</v>
      </c>
      <c r="CW1042">
        <v>7272781</v>
      </c>
      <c r="CY1042">
        <v>1</v>
      </c>
      <c r="CZ1042">
        <v>0</v>
      </c>
      <c r="DA1042">
        <v>1</v>
      </c>
      <c r="DB1042">
        <v>0</v>
      </c>
      <c r="DC1042">
        <v>0</v>
      </c>
      <c r="DD1042">
        <v>1</v>
      </c>
      <c r="DE1042">
        <v>0</v>
      </c>
      <c r="DF1042">
        <v>0</v>
      </c>
      <c r="DG1042">
        <v>0</v>
      </c>
      <c r="DH1042">
        <v>0</v>
      </c>
      <c r="DI1042">
        <v>0</v>
      </c>
    </row>
    <row r="1043" spans="1:113" x14ac:dyDescent="0.3">
      <c r="A1043" t="str">
        <f>"09/28/2021 13:59:12.168"</f>
        <v>09/28/2021 13:59:12.168</v>
      </c>
      <c r="C1043" t="str">
        <f t="shared" si="50"/>
        <v>FFDFD3C0</v>
      </c>
      <c r="D1043" t="s">
        <v>120</v>
      </c>
      <c r="E1043">
        <v>12</v>
      </c>
      <c r="F1043">
        <v>1012</v>
      </c>
      <c r="G1043" t="s">
        <v>114</v>
      </c>
      <c r="J1043" t="s">
        <v>121</v>
      </c>
      <c r="K1043">
        <v>0</v>
      </c>
      <c r="L1043">
        <v>3</v>
      </c>
      <c r="M1043">
        <v>0</v>
      </c>
      <c r="N1043">
        <v>2</v>
      </c>
      <c r="O1043">
        <v>1</v>
      </c>
      <c r="P1043">
        <v>0</v>
      </c>
      <c r="Q1043">
        <v>0</v>
      </c>
      <c r="S1043" t="str">
        <f>"13:59:11.977"</f>
        <v>13:59:11.977</v>
      </c>
      <c r="T1043" t="str">
        <f>"13:59:11.477"</f>
        <v>13:59:11.477</v>
      </c>
      <c r="U1043" t="str">
        <f t="shared" si="52"/>
        <v>A92BC1</v>
      </c>
      <c r="V1043">
        <v>0</v>
      </c>
      <c r="W1043">
        <v>0</v>
      </c>
      <c r="X1043">
        <v>2</v>
      </c>
      <c r="Z1043">
        <v>0</v>
      </c>
      <c r="AA1043">
        <v>9</v>
      </c>
      <c r="AB1043">
        <v>3</v>
      </c>
      <c r="AC1043">
        <v>0</v>
      </c>
      <c r="AD1043">
        <v>10</v>
      </c>
      <c r="AE1043">
        <v>0</v>
      </c>
      <c r="AF1043">
        <v>3</v>
      </c>
      <c r="AG1043">
        <v>2</v>
      </c>
      <c r="AH1043">
        <v>0</v>
      </c>
      <c r="AI1043" t="s">
        <v>1144</v>
      </c>
      <c r="AJ1043">
        <v>45.892080999999997</v>
      </c>
      <c r="AK1043" t="s">
        <v>1145</v>
      </c>
      <c r="AL1043">
        <v>-89.095108999999994</v>
      </c>
      <c r="AM1043">
        <v>100</v>
      </c>
      <c r="AN1043">
        <v>15600</v>
      </c>
      <c r="AO1043" t="s">
        <v>118</v>
      </c>
      <c r="AP1043">
        <v>150</v>
      </c>
      <c r="AQ1043">
        <v>122</v>
      </c>
      <c r="AR1043">
        <v>0</v>
      </c>
      <c r="AZ1043">
        <v>1200</v>
      </c>
      <c r="BA1043">
        <v>1</v>
      </c>
      <c r="BB1043" t="str">
        <f t="shared" si="51"/>
        <v xml:space="preserve">N690LS  </v>
      </c>
      <c r="BC1043">
        <v>1</v>
      </c>
      <c r="BE1043">
        <v>0</v>
      </c>
      <c r="BF1043">
        <v>0</v>
      </c>
      <c r="BG1043">
        <v>0</v>
      </c>
      <c r="BH1043">
        <v>16125</v>
      </c>
      <c r="BI1043">
        <v>1</v>
      </c>
      <c r="BJ1043">
        <v>1</v>
      </c>
      <c r="BK1043">
        <v>1</v>
      </c>
      <c r="BL1043">
        <v>0</v>
      </c>
      <c r="BO1043">
        <v>0</v>
      </c>
      <c r="BP1043">
        <v>0</v>
      </c>
      <c r="BW1043" t="str">
        <f>"13:59:11.981"</f>
        <v>13:59:11.981</v>
      </c>
      <c r="CJ1043">
        <v>0</v>
      </c>
      <c r="CK1043">
        <v>2</v>
      </c>
      <c r="CL1043">
        <v>0</v>
      </c>
      <c r="CM1043">
        <v>2</v>
      </c>
      <c r="CN1043">
        <v>0</v>
      </c>
      <c r="CO1043">
        <v>7</v>
      </c>
      <c r="CP1043" t="s">
        <v>119</v>
      </c>
      <c r="CQ1043">
        <v>209</v>
      </c>
      <c r="CR1043">
        <v>3</v>
      </c>
      <c r="CW1043">
        <v>7273359</v>
      </c>
      <c r="CY1043">
        <v>1</v>
      </c>
      <c r="CZ1043">
        <v>0</v>
      </c>
      <c r="DA1043">
        <v>0</v>
      </c>
      <c r="DB1043">
        <v>0</v>
      </c>
      <c r="DC1043">
        <v>0</v>
      </c>
      <c r="DD1043">
        <v>1</v>
      </c>
      <c r="DE1043">
        <v>0</v>
      </c>
      <c r="DF1043">
        <v>0</v>
      </c>
      <c r="DG1043">
        <v>0</v>
      </c>
      <c r="DH1043">
        <v>0</v>
      </c>
      <c r="DI1043">
        <v>0</v>
      </c>
    </row>
    <row r="1044" spans="1:113" x14ac:dyDescent="0.3">
      <c r="A1044" t="str">
        <f>"09/28/2021 13:59:12.199"</f>
        <v>09/28/2021 13:59:12.199</v>
      </c>
      <c r="C1044" t="str">
        <f t="shared" si="50"/>
        <v>FFDFD3C0</v>
      </c>
      <c r="D1044" t="s">
        <v>113</v>
      </c>
      <c r="E1044">
        <v>7</v>
      </c>
      <c r="H1044">
        <v>170</v>
      </c>
      <c r="I1044" t="s">
        <v>114</v>
      </c>
      <c r="J1044" t="s">
        <v>115</v>
      </c>
      <c r="K1044">
        <v>0</v>
      </c>
      <c r="L1044">
        <v>3</v>
      </c>
      <c r="M1044">
        <v>0</v>
      </c>
      <c r="N1044">
        <v>2</v>
      </c>
      <c r="O1044">
        <v>1</v>
      </c>
      <c r="P1044">
        <v>0</v>
      </c>
      <c r="Q1044">
        <v>0</v>
      </c>
      <c r="S1044" t="str">
        <f>"13:59:11.977"</f>
        <v>13:59:11.977</v>
      </c>
      <c r="T1044" t="str">
        <f>"13:59:11.477"</f>
        <v>13:59:11.477</v>
      </c>
      <c r="U1044" t="str">
        <f t="shared" si="52"/>
        <v>A92BC1</v>
      </c>
      <c r="V1044">
        <v>0</v>
      </c>
      <c r="W1044">
        <v>0</v>
      </c>
      <c r="X1044">
        <v>2</v>
      </c>
      <c r="Z1044">
        <v>0</v>
      </c>
      <c r="AA1044">
        <v>9</v>
      </c>
      <c r="AB1044">
        <v>3</v>
      </c>
      <c r="AC1044">
        <v>0</v>
      </c>
      <c r="AD1044">
        <v>10</v>
      </c>
      <c r="AE1044">
        <v>0</v>
      </c>
      <c r="AF1044">
        <v>3</v>
      </c>
      <c r="AG1044">
        <v>2</v>
      </c>
      <c r="AH1044">
        <v>0</v>
      </c>
      <c r="AI1044" t="s">
        <v>1144</v>
      </c>
      <c r="AJ1044">
        <v>45.892080999999997</v>
      </c>
      <c r="AK1044" t="s">
        <v>1145</v>
      </c>
      <c r="AL1044">
        <v>-89.095108999999994</v>
      </c>
      <c r="AM1044">
        <v>100</v>
      </c>
      <c r="AN1044">
        <v>15600</v>
      </c>
      <c r="AO1044" t="s">
        <v>118</v>
      </c>
      <c r="AP1044">
        <v>150</v>
      </c>
      <c r="AQ1044">
        <v>122</v>
      </c>
      <c r="AR1044">
        <v>0</v>
      </c>
      <c r="AZ1044">
        <v>1200</v>
      </c>
      <c r="BA1044">
        <v>1</v>
      </c>
      <c r="BB1044" t="str">
        <f t="shared" si="51"/>
        <v xml:space="preserve">N690LS  </v>
      </c>
      <c r="BC1044">
        <v>1</v>
      </c>
      <c r="BE1044">
        <v>0</v>
      </c>
      <c r="BF1044">
        <v>0</v>
      </c>
      <c r="BG1044">
        <v>0</v>
      </c>
      <c r="BH1044">
        <v>16125</v>
      </c>
      <c r="BI1044">
        <v>1</v>
      </c>
      <c r="BJ1044">
        <v>1</v>
      </c>
      <c r="BK1044">
        <v>1</v>
      </c>
      <c r="BL1044">
        <v>0</v>
      </c>
      <c r="BO1044">
        <v>0</v>
      </c>
      <c r="BP1044">
        <v>0</v>
      </c>
      <c r="BW1044" t="str">
        <f>"13:59:11.981"</f>
        <v>13:59:11.981</v>
      </c>
      <c r="CJ1044">
        <v>0</v>
      </c>
      <c r="CK1044">
        <v>2</v>
      </c>
      <c r="CL1044">
        <v>0</v>
      </c>
      <c r="CM1044">
        <v>2</v>
      </c>
      <c r="CN1044">
        <v>0</v>
      </c>
      <c r="CO1044">
        <v>7</v>
      </c>
      <c r="CP1044" t="s">
        <v>119</v>
      </c>
      <c r="CQ1044">
        <v>209</v>
      </c>
      <c r="CR1044">
        <v>3</v>
      </c>
      <c r="CW1044">
        <v>7273359</v>
      </c>
      <c r="CY1044">
        <v>1</v>
      </c>
      <c r="CZ1044">
        <v>0</v>
      </c>
      <c r="DA1044">
        <v>1</v>
      </c>
      <c r="DB1044">
        <v>0</v>
      </c>
      <c r="DC1044">
        <v>0</v>
      </c>
      <c r="DD1044">
        <v>1</v>
      </c>
      <c r="DE1044">
        <v>0</v>
      </c>
      <c r="DF1044">
        <v>0</v>
      </c>
      <c r="DG1044">
        <v>0</v>
      </c>
      <c r="DH1044">
        <v>0</v>
      </c>
      <c r="DI1044">
        <v>0</v>
      </c>
    </row>
    <row r="1045" spans="1:113" x14ac:dyDescent="0.3">
      <c r="A1045" t="str">
        <f>"09/28/2021 13:59:13.058"</f>
        <v>09/28/2021 13:59:13.058</v>
      </c>
      <c r="C1045" t="str">
        <f t="shared" si="50"/>
        <v>FFDFD3C0</v>
      </c>
      <c r="D1045" t="s">
        <v>113</v>
      </c>
      <c r="E1045">
        <v>7</v>
      </c>
      <c r="H1045">
        <v>170</v>
      </c>
      <c r="I1045" t="s">
        <v>114</v>
      </c>
      <c r="J1045" t="s">
        <v>115</v>
      </c>
      <c r="K1045">
        <v>0</v>
      </c>
      <c r="L1045">
        <v>3</v>
      </c>
      <c r="M1045">
        <v>0</v>
      </c>
      <c r="N1045">
        <v>2</v>
      </c>
      <c r="O1045">
        <v>1</v>
      </c>
      <c r="P1045">
        <v>0</v>
      </c>
      <c r="Q1045">
        <v>0</v>
      </c>
      <c r="S1045" t="str">
        <f>"13:59:12.852"</f>
        <v>13:59:12.852</v>
      </c>
      <c r="T1045" t="str">
        <f>"13:59:12.452"</f>
        <v>13:59:12.452</v>
      </c>
      <c r="U1045" t="str">
        <f t="shared" si="52"/>
        <v>A92BC1</v>
      </c>
      <c r="V1045">
        <v>0</v>
      </c>
      <c r="W1045">
        <v>0</v>
      </c>
      <c r="X1045">
        <v>2</v>
      </c>
      <c r="Z1045">
        <v>0</v>
      </c>
      <c r="AA1045">
        <v>9</v>
      </c>
      <c r="AB1045">
        <v>3</v>
      </c>
      <c r="AC1045">
        <v>0</v>
      </c>
      <c r="AD1045">
        <v>10</v>
      </c>
      <c r="AE1045">
        <v>0</v>
      </c>
      <c r="AF1045">
        <v>3</v>
      </c>
      <c r="AG1045">
        <v>2</v>
      </c>
      <c r="AH1045">
        <v>0</v>
      </c>
      <c r="AI1045" t="s">
        <v>1146</v>
      </c>
      <c r="AJ1045">
        <v>45.892595999999998</v>
      </c>
      <c r="AK1045" t="s">
        <v>1147</v>
      </c>
      <c r="AL1045">
        <v>-89.094250000000002</v>
      </c>
      <c r="AM1045">
        <v>100</v>
      </c>
      <c r="AN1045">
        <v>15600</v>
      </c>
      <c r="AO1045" t="s">
        <v>118</v>
      </c>
      <c r="AP1045">
        <v>149</v>
      </c>
      <c r="AQ1045">
        <v>121</v>
      </c>
      <c r="AR1045">
        <v>0</v>
      </c>
      <c r="AZ1045">
        <v>1200</v>
      </c>
      <c r="BA1045">
        <v>1</v>
      </c>
      <c r="BB1045" t="str">
        <f t="shared" si="51"/>
        <v xml:space="preserve">N690LS  </v>
      </c>
      <c r="BC1045">
        <v>1</v>
      </c>
      <c r="BE1045">
        <v>0</v>
      </c>
      <c r="BF1045">
        <v>0</v>
      </c>
      <c r="BG1045">
        <v>0</v>
      </c>
      <c r="BH1045">
        <v>16125</v>
      </c>
      <c r="BI1045">
        <v>1</v>
      </c>
      <c r="BJ1045">
        <v>1</v>
      </c>
      <c r="BK1045">
        <v>1</v>
      </c>
      <c r="BL1045">
        <v>0</v>
      </c>
      <c r="BO1045">
        <v>0</v>
      </c>
      <c r="BP1045">
        <v>0</v>
      </c>
      <c r="BW1045" t="str">
        <f>"13:59:12.856"</f>
        <v>13:59:12.856</v>
      </c>
      <c r="CJ1045">
        <v>0</v>
      </c>
      <c r="CK1045">
        <v>2</v>
      </c>
      <c r="CL1045">
        <v>0</v>
      </c>
      <c r="CM1045">
        <v>2</v>
      </c>
      <c r="CN1045">
        <v>0</v>
      </c>
      <c r="CO1045">
        <v>7</v>
      </c>
      <c r="CP1045" t="s">
        <v>119</v>
      </c>
      <c r="CQ1045">
        <v>209</v>
      </c>
      <c r="CR1045">
        <v>3</v>
      </c>
      <c r="CW1045">
        <v>7273659</v>
      </c>
      <c r="CY1045">
        <v>1</v>
      </c>
      <c r="CZ1045">
        <v>0</v>
      </c>
      <c r="DA1045">
        <v>0</v>
      </c>
      <c r="DB1045">
        <v>0</v>
      </c>
      <c r="DC1045">
        <v>0</v>
      </c>
      <c r="DD1045">
        <v>1</v>
      </c>
      <c r="DE1045">
        <v>0</v>
      </c>
      <c r="DF1045">
        <v>0</v>
      </c>
      <c r="DG1045">
        <v>0</v>
      </c>
      <c r="DH1045">
        <v>0</v>
      </c>
      <c r="DI1045">
        <v>0</v>
      </c>
    </row>
    <row r="1046" spans="1:113" x14ac:dyDescent="0.3">
      <c r="A1046" t="str">
        <f>"09/28/2021 13:59:13.121"</f>
        <v>09/28/2021 13:59:13.121</v>
      </c>
      <c r="C1046" t="str">
        <f t="shared" si="50"/>
        <v>FFDFD3C0</v>
      </c>
      <c r="D1046" t="s">
        <v>120</v>
      </c>
      <c r="E1046">
        <v>12</v>
      </c>
      <c r="F1046">
        <v>1012</v>
      </c>
      <c r="G1046" t="s">
        <v>114</v>
      </c>
      <c r="J1046" t="s">
        <v>121</v>
      </c>
      <c r="K1046">
        <v>0</v>
      </c>
      <c r="L1046">
        <v>3</v>
      </c>
      <c r="M1046">
        <v>0</v>
      </c>
      <c r="N1046">
        <v>2</v>
      </c>
      <c r="O1046">
        <v>1</v>
      </c>
      <c r="P1046">
        <v>0</v>
      </c>
      <c r="Q1046">
        <v>0</v>
      </c>
      <c r="S1046" t="str">
        <f>"13:59:12.852"</f>
        <v>13:59:12.852</v>
      </c>
      <c r="T1046" t="str">
        <f>"13:59:12.452"</f>
        <v>13:59:12.452</v>
      </c>
      <c r="U1046" t="str">
        <f t="shared" si="52"/>
        <v>A92BC1</v>
      </c>
      <c r="V1046">
        <v>0</v>
      </c>
      <c r="W1046">
        <v>0</v>
      </c>
      <c r="X1046">
        <v>2</v>
      </c>
      <c r="Z1046">
        <v>0</v>
      </c>
      <c r="AA1046">
        <v>9</v>
      </c>
      <c r="AB1046">
        <v>3</v>
      </c>
      <c r="AC1046">
        <v>0</v>
      </c>
      <c r="AD1046">
        <v>10</v>
      </c>
      <c r="AE1046">
        <v>0</v>
      </c>
      <c r="AF1046">
        <v>3</v>
      </c>
      <c r="AG1046">
        <v>2</v>
      </c>
      <c r="AH1046">
        <v>0</v>
      </c>
      <c r="AI1046" t="s">
        <v>1146</v>
      </c>
      <c r="AJ1046">
        <v>45.892595999999998</v>
      </c>
      <c r="AK1046" t="s">
        <v>1147</v>
      </c>
      <c r="AL1046">
        <v>-89.094250000000002</v>
      </c>
      <c r="AM1046">
        <v>100</v>
      </c>
      <c r="AN1046">
        <v>15600</v>
      </c>
      <c r="AO1046" t="s">
        <v>118</v>
      </c>
      <c r="AP1046">
        <v>149</v>
      </c>
      <c r="AQ1046">
        <v>121</v>
      </c>
      <c r="AR1046">
        <v>0</v>
      </c>
      <c r="AZ1046">
        <v>1200</v>
      </c>
      <c r="BA1046">
        <v>1</v>
      </c>
      <c r="BB1046" t="str">
        <f t="shared" si="51"/>
        <v xml:space="preserve">N690LS  </v>
      </c>
      <c r="BC1046">
        <v>1</v>
      </c>
      <c r="BE1046">
        <v>0</v>
      </c>
      <c r="BF1046">
        <v>0</v>
      </c>
      <c r="BG1046">
        <v>0</v>
      </c>
      <c r="BH1046">
        <v>16125</v>
      </c>
      <c r="BI1046">
        <v>1</v>
      </c>
      <c r="BJ1046">
        <v>1</v>
      </c>
      <c r="BK1046">
        <v>1</v>
      </c>
      <c r="BL1046">
        <v>0</v>
      </c>
      <c r="BO1046">
        <v>0</v>
      </c>
      <c r="BP1046">
        <v>0</v>
      </c>
      <c r="BW1046" t="str">
        <f>"13:59:12.856"</f>
        <v>13:59:12.856</v>
      </c>
      <c r="CJ1046">
        <v>0</v>
      </c>
      <c r="CK1046">
        <v>2</v>
      </c>
      <c r="CL1046">
        <v>0</v>
      </c>
      <c r="CM1046">
        <v>2</v>
      </c>
      <c r="CN1046">
        <v>0</v>
      </c>
      <c r="CO1046">
        <v>7</v>
      </c>
      <c r="CP1046" t="s">
        <v>119</v>
      </c>
      <c r="CQ1046">
        <v>209</v>
      </c>
      <c r="CR1046">
        <v>3</v>
      </c>
      <c r="CW1046">
        <v>7273659</v>
      </c>
      <c r="CY1046">
        <v>1</v>
      </c>
      <c r="CZ1046">
        <v>0</v>
      </c>
      <c r="DA1046">
        <v>1</v>
      </c>
      <c r="DB1046">
        <v>0</v>
      </c>
      <c r="DC1046">
        <v>0</v>
      </c>
      <c r="DD1046">
        <v>1</v>
      </c>
      <c r="DE1046">
        <v>0</v>
      </c>
      <c r="DF1046">
        <v>0</v>
      </c>
      <c r="DG1046">
        <v>0</v>
      </c>
      <c r="DH1046">
        <v>0</v>
      </c>
      <c r="DI1046">
        <v>0</v>
      </c>
    </row>
    <row r="1047" spans="1:113" x14ac:dyDescent="0.3">
      <c r="A1047" t="str">
        <f>"09/28/2021 13:59:14.090"</f>
        <v>09/28/2021 13:59:14.090</v>
      </c>
      <c r="C1047" t="str">
        <f t="shared" si="50"/>
        <v>FFDFD3C0</v>
      </c>
      <c r="D1047" t="s">
        <v>120</v>
      </c>
      <c r="E1047">
        <v>12</v>
      </c>
      <c r="F1047">
        <v>1012</v>
      </c>
      <c r="G1047" t="s">
        <v>114</v>
      </c>
      <c r="J1047" t="s">
        <v>121</v>
      </c>
      <c r="K1047">
        <v>0</v>
      </c>
      <c r="L1047">
        <v>3</v>
      </c>
      <c r="M1047">
        <v>0</v>
      </c>
      <c r="N1047">
        <v>2</v>
      </c>
      <c r="O1047">
        <v>1</v>
      </c>
      <c r="P1047">
        <v>0</v>
      </c>
      <c r="Q1047">
        <v>0</v>
      </c>
      <c r="S1047" t="str">
        <f>"13:59:13.898"</f>
        <v>13:59:13.898</v>
      </c>
      <c r="T1047" t="str">
        <f>"13:59:13.398"</f>
        <v>13:59:13.398</v>
      </c>
      <c r="U1047" t="str">
        <f t="shared" si="52"/>
        <v>A92BC1</v>
      </c>
      <c r="V1047">
        <v>0</v>
      </c>
      <c r="W1047">
        <v>0</v>
      </c>
      <c r="X1047">
        <v>2</v>
      </c>
      <c r="Z1047">
        <v>0</v>
      </c>
      <c r="AA1047">
        <v>9</v>
      </c>
      <c r="AB1047">
        <v>3</v>
      </c>
      <c r="AC1047">
        <v>0</v>
      </c>
      <c r="AD1047">
        <v>10</v>
      </c>
      <c r="AE1047">
        <v>0</v>
      </c>
      <c r="AF1047">
        <v>3</v>
      </c>
      <c r="AG1047">
        <v>2</v>
      </c>
      <c r="AH1047">
        <v>0</v>
      </c>
      <c r="AI1047" t="s">
        <v>1148</v>
      </c>
      <c r="AJ1047">
        <v>45.893154000000003</v>
      </c>
      <c r="AK1047" t="s">
        <v>1149</v>
      </c>
      <c r="AL1047">
        <v>-89.093220000000002</v>
      </c>
      <c r="AM1047">
        <v>100</v>
      </c>
      <c r="AN1047">
        <v>15600</v>
      </c>
      <c r="AO1047" t="s">
        <v>118</v>
      </c>
      <c r="AP1047">
        <v>148</v>
      </c>
      <c r="AQ1047">
        <v>120</v>
      </c>
      <c r="AR1047">
        <v>0</v>
      </c>
      <c r="AZ1047">
        <v>1200</v>
      </c>
      <c r="BA1047">
        <v>1</v>
      </c>
      <c r="BB1047" t="str">
        <f t="shared" si="51"/>
        <v xml:space="preserve">N690LS  </v>
      </c>
      <c r="BC1047">
        <v>1</v>
      </c>
      <c r="BE1047">
        <v>0</v>
      </c>
      <c r="BF1047">
        <v>0</v>
      </c>
      <c r="BG1047">
        <v>0</v>
      </c>
      <c r="BH1047">
        <v>16125</v>
      </c>
      <c r="BI1047">
        <v>1</v>
      </c>
      <c r="BJ1047">
        <v>1</v>
      </c>
      <c r="BK1047">
        <v>1</v>
      </c>
      <c r="BL1047">
        <v>0</v>
      </c>
      <c r="BO1047">
        <v>0</v>
      </c>
      <c r="BP1047">
        <v>0</v>
      </c>
      <c r="BW1047" t="str">
        <f>"13:59:13.900"</f>
        <v>13:59:13.900</v>
      </c>
      <c r="CJ1047">
        <v>0</v>
      </c>
      <c r="CK1047">
        <v>2</v>
      </c>
      <c r="CL1047">
        <v>0</v>
      </c>
      <c r="CM1047">
        <v>2</v>
      </c>
      <c r="CN1047">
        <v>0</v>
      </c>
      <c r="CO1047">
        <v>7</v>
      </c>
      <c r="CP1047" t="s">
        <v>119</v>
      </c>
      <c r="CQ1047">
        <v>209</v>
      </c>
      <c r="CR1047">
        <v>3</v>
      </c>
      <c r="CW1047">
        <v>7274013</v>
      </c>
      <c r="CY1047">
        <v>1</v>
      </c>
      <c r="CZ1047">
        <v>0</v>
      </c>
      <c r="DA1047">
        <v>0</v>
      </c>
      <c r="DB1047">
        <v>0</v>
      </c>
      <c r="DC1047">
        <v>0</v>
      </c>
      <c r="DD1047">
        <v>1</v>
      </c>
      <c r="DE1047">
        <v>0</v>
      </c>
      <c r="DF1047">
        <v>0</v>
      </c>
      <c r="DG1047">
        <v>0</v>
      </c>
      <c r="DH1047">
        <v>0</v>
      </c>
      <c r="DI1047">
        <v>0</v>
      </c>
    </row>
    <row r="1048" spans="1:113" x14ac:dyDescent="0.3">
      <c r="A1048" t="str">
        <f>"09/28/2021 13:59:14.137"</f>
        <v>09/28/2021 13:59:14.137</v>
      </c>
      <c r="C1048" t="str">
        <f t="shared" si="50"/>
        <v>FFDFD3C0</v>
      </c>
      <c r="D1048" t="s">
        <v>113</v>
      </c>
      <c r="E1048">
        <v>7</v>
      </c>
      <c r="H1048">
        <v>170</v>
      </c>
      <c r="I1048" t="s">
        <v>114</v>
      </c>
      <c r="J1048" t="s">
        <v>115</v>
      </c>
      <c r="K1048">
        <v>0</v>
      </c>
      <c r="L1048">
        <v>3</v>
      </c>
      <c r="M1048">
        <v>0</v>
      </c>
      <c r="N1048">
        <v>2</v>
      </c>
      <c r="O1048">
        <v>1</v>
      </c>
      <c r="P1048">
        <v>0</v>
      </c>
      <c r="Q1048">
        <v>0</v>
      </c>
      <c r="S1048" t="str">
        <f>"13:59:13.898"</f>
        <v>13:59:13.898</v>
      </c>
      <c r="T1048" t="str">
        <f>"13:59:13.398"</f>
        <v>13:59:13.398</v>
      </c>
      <c r="U1048" t="str">
        <f t="shared" si="52"/>
        <v>A92BC1</v>
      </c>
      <c r="V1048">
        <v>0</v>
      </c>
      <c r="W1048">
        <v>0</v>
      </c>
      <c r="X1048">
        <v>2</v>
      </c>
      <c r="Z1048">
        <v>0</v>
      </c>
      <c r="AA1048">
        <v>9</v>
      </c>
      <c r="AB1048">
        <v>3</v>
      </c>
      <c r="AC1048">
        <v>0</v>
      </c>
      <c r="AD1048">
        <v>10</v>
      </c>
      <c r="AE1048">
        <v>0</v>
      </c>
      <c r="AF1048">
        <v>3</v>
      </c>
      <c r="AG1048">
        <v>2</v>
      </c>
      <c r="AH1048">
        <v>0</v>
      </c>
      <c r="AI1048" t="s">
        <v>1148</v>
      </c>
      <c r="AJ1048">
        <v>45.893154000000003</v>
      </c>
      <c r="AK1048" t="s">
        <v>1149</v>
      </c>
      <c r="AL1048">
        <v>-89.093220000000002</v>
      </c>
      <c r="AM1048">
        <v>100</v>
      </c>
      <c r="AN1048">
        <v>15600</v>
      </c>
      <c r="AO1048" t="s">
        <v>118</v>
      </c>
      <c r="AP1048">
        <v>148</v>
      </c>
      <c r="AQ1048">
        <v>120</v>
      </c>
      <c r="AR1048">
        <v>0</v>
      </c>
      <c r="AZ1048">
        <v>1200</v>
      </c>
      <c r="BA1048">
        <v>1</v>
      </c>
      <c r="BB1048" t="str">
        <f t="shared" si="51"/>
        <v xml:space="preserve">N690LS  </v>
      </c>
      <c r="BC1048">
        <v>1</v>
      </c>
      <c r="BE1048">
        <v>0</v>
      </c>
      <c r="BF1048">
        <v>0</v>
      </c>
      <c r="BG1048">
        <v>0</v>
      </c>
      <c r="BH1048">
        <v>16125</v>
      </c>
      <c r="BI1048">
        <v>1</v>
      </c>
      <c r="BJ1048">
        <v>1</v>
      </c>
      <c r="BK1048">
        <v>1</v>
      </c>
      <c r="BL1048">
        <v>0</v>
      </c>
      <c r="BO1048">
        <v>0</v>
      </c>
      <c r="BP1048">
        <v>0</v>
      </c>
      <c r="BW1048" t="str">
        <f>"13:59:13.900"</f>
        <v>13:59:13.900</v>
      </c>
      <c r="CJ1048">
        <v>0</v>
      </c>
      <c r="CK1048">
        <v>2</v>
      </c>
      <c r="CL1048">
        <v>0</v>
      </c>
      <c r="CM1048">
        <v>2</v>
      </c>
      <c r="CN1048">
        <v>0</v>
      </c>
      <c r="CO1048">
        <v>7</v>
      </c>
      <c r="CP1048" t="s">
        <v>119</v>
      </c>
      <c r="CQ1048">
        <v>209</v>
      </c>
      <c r="CR1048">
        <v>3</v>
      </c>
      <c r="CW1048">
        <v>7274013</v>
      </c>
      <c r="CY1048">
        <v>1</v>
      </c>
      <c r="CZ1048">
        <v>0</v>
      </c>
      <c r="DA1048">
        <v>1</v>
      </c>
      <c r="DB1048">
        <v>0</v>
      </c>
      <c r="DC1048">
        <v>0</v>
      </c>
      <c r="DD1048">
        <v>1</v>
      </c>
      <c r="DE1048">
        <v>0</v>
      </c>
      <c r="DF1048">
        <v>0</v>
      </c>
      <c r="DG1048">
        <v>0</v>
      </c>
      <c r="DH1048">
        <v>0</v>
      </c>
      <c r="DI1048">
        <v>0</v>
      </c>
    </row>
    <row r="1049" spans="1:113" x14ac:dyDescent="0.3">
      <c r="A1049" t="str">
        <f>"09/28/2021 13:59:15.122"</f>
        <v>09/28/2021 13:59:15.122</v>
      </c>
      <c r="C1049" t="str">
        <f t="shared" si="50"/>
        <v>FFDFD3C0</v>
      </c>
      <c r="D1049" t="s">
        <v>120</v>
      </c>
      <c r="E1049">
        <v>12</v>
      </c>
      <c r="F1049">
        <v>1012</v>
      </c>
      <c r="G1049" t="s">
        <v>114</v>
      </c>
      <c r="J1049" t="s">
        <v>121</v>
      </c>
      <c r="K1049">
        <v>0</v>
      </c>
      <c r="L1049">
        <v>3</v>
      </c>
      <c r="M1049">
        <v>0</v>
      </c>
      <c r="N1049">
        <v>2</v>
      </c>
      <c r="O1049">
        <v>1</v>
      </c>
      <c r="P1049">
        <v>0</v>
      </c>
      <c r="Q1049">
        <v>0</v>
      </c>
      <c r="S1049" t="str">
        <f>"13:59:14.906"</f>
        <v>13:59:14.906</v>
      </c>
      <c r="T1049" t="str">
        <f>"13:59:14.406"</f>
        <v>13:59:14.406</v>
      </c>
      <c r="U1049" t="str">
        <f t="shared" si="52"/>
        <v>A92BC1</v>
      </c>
      <c r="V1049">
        <v>0</v>
      </c>
      <c r="W1049">
        <v>0</v>
      </c>
      <c r="X1049">
        <v>2</v>
      </c>
      <c r="Z1049">
        <v>0</v>
      </c>
      <c r="AA1049">
        <v>9</v>
      </c>
      <c r="AB1049">
        <v>3</v>
      </c>
      <c r="AC1049">
        <v>0</v>
      </c>
      <c r="AD1049">
        <v>10</v>
      </c>
      <c r="AE1049">
        <v>0</v>
      </c>
      <c r="AF1049">
        <v>3</v>
      </c>
      <c r="AG1049">
        <v>2</v>
      </c>
      <c r="AH1049">
        <v>0</v>
      </c>
      <c r="AI1049" t="s">
        <v>1150</v>
      </c>
      <c r="AJ1049">
        <v>45.893712000000001</v>
      </c>
      <c r="AK1049" t="s">
        <v>1151</v>
      </c>
      <c r="AL1049">
        <v>-89.092254999999994</v>
      </c>
      <c r="AM1049">
        <v>100</v>
      </c>
      <c r="AN1049">
        <v>15600</v>
      </c>
      <c r="AO1049" t="s">
        <v>118</v>
      </c>
      <c r="AP1049">
        <v>147</v>
      </c>
      <c r="AQ1049">
        <v>119</v>
      </c>
      <c r="AR1049">
        <v>0</v>
      </c>
      <c r="AZ1049">
        <v>1200</v>
      </c>
      <c r="BA1049">
        <v>1</v>
      </c>
      <c r="BB1049" t="str">
        <f t="shared" si="51"/>
        <v xml:space="preserve">N690LS  </v>
      </c>
      <c r="BC1049">
        <v>1</v>
      </c>
      <c r="BE1049">
        <v>0</v>
      </c>
      <c r="BF1049">
        <v>0</v>
      </c>
      <c r="BG1049">
        <v>0</v>
      </c>
      <c r="BH1049">
        <v>16125</v>
      </c>
      <c r="BI1049">
        <v>1</v>
      </c>
      <c r="BJ1049">
        <v>1</v>
      </c>
      <c r="BK1049">
        <v>1</v>
      </c>
      <c r="BL1049">
        <v>0</v>
      </c>
      <c r="BO1049">
        <v>0</v>
      </c>
      <c r="BP1049">
        <v>0</v>
      </c>
      <c r="BW1049" t="str">
        <f>"13:59:14.911"</f>
        <v>13:59:14.911</v>
      </c>
      <c r="CJ1049">
        <v>0</v>
      </c>
      <c r="CK1049">
        <v>2</v>
      </c>
      <c r="CL1049">
        <v>0</v>
      </c>
      <c r="CM1049">
        <v>2</v>
      </c>
      <c r="CN1049">
        <v>0</v>
      </c>
      <c r="CO1049">
        <v>7</v>
      </c>
      <c r="CP1049" t="s">
        <v>119</v>
      </c>
      <c r="CQ1049">
        <v>209</v>
      </c>
      <c r="CR1049">
        <v>3</v>
      </c>
      <c r="CW1049">
        <v>7274319</v>
      </c>
      <c r="CY1049">
        <v>1</v>
      </c>
      <c r="CZ1049">
        <v>0</v>
      </c>
      <c r="DA1049">
        <v>0</v>
      </c>
      <c r="DB1049">
        <v>0</v>
      </c>
      <c r="DC1049">
        <v>0</v>
      </c>
      <c r="DD1049">
        <v>1</v>
      </c>
      <c r="DE1049">
        <v>0</v>
      </c>
      <c r="DF1049">
        <v>0</v>
      </c>
      <c r="DG1049">
        <v>0</v>
      </c>
      <c r="DH1049">
        <v>0</v>
      </c>
      <c r="DI1049">
        <v>0</v>
      </c>
    </row>
    <row r="1050" spans="1:113" x14ac:dyDescent="0.3">
      <c r="A1050" t="str">
        <f>"09/28/2021 13:59:15.138"</f>
        <v>09/28/2021 13:59:15.138</v>
      </c>
      <c r="C1050" t="str">
        <f t="shared" si="50"/>
        <v>FFDFD3C0</v>
      </c>
      <c r="D1050" t="s">
        <v>113</v>
      </c>
      <c r="E1050">
        <v>7</v>
      </c>
      <c r="H1050">
        <v>170</v>
      </c>
      <c r="I1050" t="s">
        <v>114</v>
      </c>
      <c r="J1050" t="s">
        <v>115</v>
      </c>
      <c r="K1050">
        <v>0</v>
      </c>
      <c r="L1050">
        <v>3</v>
      </c>
      <c r="M1050">
        <v>0</v>
      </c>
      <c r="N1050">
        <v>2</v>
      </c>
      <c r="O1050">
        <v>1</v>
      </c>
      <c r="P1050">
        <v>0</v>
      </c>
      <c r="Q1050">
        <v>0</v>
      </c>
      <c r="S1050" t="str">
        <f>"13:59:14.906"</f>
        <v>13:59:14.906</v>
      </c>
      <c r="T1050" t="str">
        <f>"13:59:14.406"</f>
        <v>13:59:14.406</v>
      </c>
      <c r="U1050" t="str">
        <f t="shared" si="52"/>
        <v>A92BC1</v>
      </c>
      <c r="V1050">
        <v>0</v>
      </c>
      <c r="W1050">
        <v>0</v>
      </c>
      <c r="X1050">
        <v>2</v>
      </c>
      <c r="Z1050">
        <v>0</v>
      </c>
      <c r="AA1050">
        <v>9</v>
      </c>
      <c r="AB1050">
        <v>3</v>
      </c>
      <c r="AC1050">
        <v>0</v>
      </c>
      <c r="AD1050">
        <v>10</v>
      </c>
      <c r="AE1050">
        <v>0</v>
      </c>
      <c r="AF1050">
        <v>3</v>
      </c>
      <c r="AG1050">
        <v>2</v>
      </c>
      <c r="AH1050">
        <v>0</v>
      </c>
      <c r="AI1050" t="s">
        <v>1150</v>
      </c>
      <c r="AJ1050">
        <v>45.893712000000001</v>
      </c>
      <c r="AK1050" t="s">
        <v>1151</v>
      </c>
      <c r="AL1050">
        <v>-89.092254999999994</v>
      </c>
      <c r="AM1050">
        <v>100</v>
      </c>
      <c r="AN1050">
        <v>15600</v>
      </c>
      <c r="AO1050" t="s">
        <v>118</v>
      </c>
      <c r="AP1050">
        <v>147</v>
      </c>
      <c r="AQ1050">
        <v>119</v>
      </c>
      <c r="AR1050">
        <v>0</v>
      </c>
      <c r="AZ1050">
        <v>1200</v>
      </c>
      <c r="BA1050">
        <v>1</v>
      </c>
      <c r="BB1050" t="str">
        <f t="shared" si="51"/>
        <v xml:space="preserve">N690LS  </v>
      </c>
      <c r="BC1050">
        <v>1</v>
      </c>
      <c r="BE1050">
        <v>0</v>
      </c>
      <c r="BF1050">
        <v>0</v>
      </c>
      <c r="BG1050">
        <v>0</v>
      </c>
      <c r="BH1050">
        <v>16125</v>
      </c>
      <c r="BI1050">
        <v>1</v>
      </c>
      <c r="BJ1050">
        <v>1</v>
      </c>
      <c r="BK1050">
        <v>1</v>
      </c>
      <c r="BL1050">
        <v>0</v>
      </c>
      <c r="BO1050">
        <v>0</v>
      </c>
      <c r="BP1050">
        <v>0</v>
      </c>
      <c r="BW1050" t="str">
        <f>"13:59:14.911"</f>
        <v>13:59:14.911</v>
      </c>
      <c r="CJ1050">
        <v>0</v>
      </c>
      <c r="CK1050">
        <v>2</v>
      </c>
      <c r="CL1050">
        <v>0</v>
      </c>
      <c r="CM1050">
        <v>2</v>
      </c>
      <c r="CN1050">
        <v>0</v>
      </c>
      <c r="CO1050">
        <v>7</v>
      </c>
      <c r="CP1050" t="s">
        <v>119</v>
      </c>
      <c r="CQ1050">
        <v>209</v>
      </c>
      <c r="CR1050">
        <v>3</v>
      </c>
      <c r="CW1050">
        <v>7274319</v>
      </c>
      <c r="CY1050">
        <v>1</v>
      </c>
      <c r="CZ1050">
        <v>0</v>
      </c>
      <c r="DA1050">
        <v>1</v>
      </c>
      <c r="DB1050">
        <v>0</v>
      </c>
      <c r="DC1050">
        <v>0</v>
      </c>
      <c r="DD1050">
        <v>1</v>
      </c>
      <c r="DE1050">
        <v>0</v>
      </c>
      <c r="DF1050">
        <v>0</v>
      </c>
      <c r="DG1050">
        <v>0</v>
      </c>
      <c r="DH1050">
        <v>0</v>
      </c>
      <c r="DI1050">
        <v>0</v>
      </c>
    </row>
    <row r="1051" spans="1:113" x14ac:dyDescent="0.3">
      <c r="A1051" t="str">
        <f>"09/28/2021 13:59:16.108"</f>
        <v>09/28/2021 13:59:16.108</v>
      </c>
      <c r="C1051" t="str">
        <f t="shared" si="50"/>
        <v>FFDFD3C0</v>
      </c>
      <c r="D1051" t="s">
        <v>113</v>
      </c>
      <c r="E1051">
        <v>7</v>
      </c>
      <c r="H1051">
        <v>170</v>
      </c>
      <c r="I1051" t="s">
        <v>114</v>
      </c>
      <c r="J1051" t="s">
        <v>115</v>
      </c>
      <c r="K1051">
        <v>0</v>
      </c>
      <c r="L1051">
        <v>3</v>
      </c>
      <c r="M1051">
        <v>0</v>
      </c>
      <c r="N1051">
        <v>2</v>
      </c>
      <c r="O1051">
        <v>1</v>
      </c>
      <c r="P1051">
        <v>0</v>
      </c>
      <c r="Q1051">
        <v>0</v>
      </c>
      <c r="S1051" t="str">
        <f>"13:59:15.898"</f>
        <v>13:59:15.898</v>
      </c>
      <c r="T1051" t="str">
        <f>"13:59:15.498"</f>
        <v>13:59:15.498</v>
      </c>
      <c r="U1051" t="str">
        <f t="shared" si="52"/>
        <v>A92BC1</v>
      </c>
      <c r="V1051">
        <v>0</v>
      </c>
      <c r="W1051">
        <v>0</v>
      </c>
      <c r="X1051">
        <v>2</v>
      </c>
      <c r="Z1051">
        <v>0</v>
      </c>
      <c r="AA1051">
        <v>9</v>
      </c>
      <c r="AB1051">
        <v>3</v>
      </c>
      <c r="AC1051">
        <v>0</v>
      </c>
      <c r="AD1051">
        <v>10</v>
      </c>
      <c r="AE1051">
        <v>0</v>
      </c>
      <c r="AF1051">
        <v>3</v>
      </c>
      <c r="AG1051">
        <v>2</v>
      </c>
      <c r="AH1051">
        <v>0</v>
      </c>
      <c r="AI1051" t="s">
        <v>1152</v>
      </c>
      <c r="AJ1051">
        <v>45.894269999999999</v>
      </c>
      <c r="AK1051" t="s">
        <v>1153</v>
      </c>
      <c r="AL1051">
        <v>-89.091289000000003</v>
      </c>
      <c r="AM1051">
        <v>100</v>
      </c>
      <c r="AN1051">
        <v>15600</v>
      </c>
      <c r="AO1051" t="s">
        <v>118</v>
      </c>
      <c r="AP1051">
        <v>145</v>
      </c>
      <c r="AQ1051">
        <v>118</v>
      </c>
      <c r="AR1051">
        <v>0</v>
      </c>
      <c r="AZ1051">
        <v>1200</v>
      </c>
      <c r="BA1051">
        <v>1</v>
      </c>
      <c r="BB1051" t="str">
        <f t="shared" si="51"/>
        <v xml:space="preserve">N690LS  </v>
      </c>
      <c r="BC1051">
        <v>1</v>
      </c>
      <c r="BE1051">
        <v>0</v>
      </c>
      <c r="BF1051">
        <v>0</v>
      </c>
      <c r="BG1051">
        <v>0</v>
      </c>
      <c r="BH1051">
        <v>16125</v>
      </c>
      <c r="BI1051">
        <v>1</v>
      </c>
      <c r="BJ1051">
        <v>1</v>
      </c>
      <c r="BK1051">
        <v>1</v>
      </c>
      <c r="BL1051">
        <v>0</v>
      </c>
      <c r="BO1051">
        <v>0</v>
      </c>
      <c r="BP1051">
        <v>0</v>
      </c>
      <c r="BW1051" t="str">
        <f>"13:59:15.900"</f>
        <v>13:59:15.900</v>
      </c>
      <c r="CJ1051">
        <v>0</v>
      </c>
      <c r="CK1051">
        <v>2</v>
      </c>
      <c r="CL1051">
        <v>0</v>
      </c>
      <c r="CM1051">
        <v>2</v>
      </c>
      <c r="CN1051">
        <v>0</v>
      </c>
      <c r="CO1051">
        <v>7</v>
      </c>
      <c r="CP1051" t="s">
        <v>119</v>
      </c>
      <c r="CQ1051">
        <v>209</v>
      </c>
      <c r="CR1051">
        <v>3</v>
      </c>
      <c r="CW1051">
        <v>7274641</v>
      </c>
      <c r="CY1051">
        <v>1</v>
      </c>
      <c r="CZ1051">
        <v>0</v>
      </c>
      <c r="DA1051">
        <v>0</v>
      </c>
      <c r="DB1051">
        <v>0</v>
      </c>
      <c r="DC1051">
        <v>0</v>
      </c>
      <c r="DD1051">
        <v>1</v>
      </c>
      <c r="DE1051">
        <v>0</v>
      </c>
      <c r="DF1051">
        <v>0</v>
      </c>
      <c r="DG1051">
        <v>0</v>
      </c>
      <c r="DH1051">
        <v>0</v>
      </c>
      <c r="DI1051">
        <v>0</v>
      </c>
    </row>
    <row r="1052" spans="1:113" x14ac:dyDescent="0.3">
      <c r="A1052" t="str">
        <f>"09/28/2021 13:59:16.108"</f>
        <v>09/28/2021 13:59:16.108</v>
      </c>
      <c r="C1052" t="str">
        <f t="shared" si="50"/>
        <v>FFDFD3C0</v>
      </c>
      <c r="D1052" t="s">
        <v>120</v>
      </c>
      <c r="E1052">
        <v>12</v>
      </c>
      <c r="F1052">
        <v>1012</v>
      </c>
      <c r="G1052" t="s">
        <v>114</v>
      </c>
      <c r="J1052" t="s">
        <v>121</v>
      </c>
      <c r="K1052">
        <v>0</v>
      </c>
      <c r="L1052">
        <v>3</v>
      </c>
      <c r="M1052">
        <v>0</v>
      </c>
      <c r="N1052">
        <v>2</v>
      </c>
      <c r="O1052">
        <v>1</v>
      </c>
      <c r="P1052">
        <v>0</v>
      </c>
      <c r="Q1052">
        <v>0</v>
      </c>
      <c r="S1052" t="str">
        <f>"13:59:15.898"</f>
        <v>13:59:15.898</v>
      </c>
      <c r="T1052" t="str">
        <f>"13:59:15.498"</f>
        <v>13:59:15.498</v>
      </c>
      <c r="U1052" t="str">
        <f t="shared" si="52"/>
        <v>A92BC1</v>
      </c>
      <c r="V1052">
        <v>0</v>
      </c>
      <c r="W1052">
        <v>0</v>
      </c>
      <c r="X1052">
        <v>2</v>
      </c>
      <c r="Z1052">
        <v>0</v>
      </c>
      <c r="AA1052">
        <v>9</v>
      </c>
      <c r="AB1052">
        <v>3</v>
      </c>
      <c r="AC1052">
        <v>0</v>
      </c>
      <c r="AD1052">
        <v>10</v>
      </c>
      <c r="AE1052">
        <v>0</v>
      </c>
      <c r="AF1052">
        <v>3</v>
      </c>
      <c r="AG1052">
        <v>2</v>
      </c>
      <c r="AH1052">
        <v>0</v>
      </c>
      <c r="AI1052" t="s">
        <v>1152</v>
      </c>
      <c r="AJ1052">
        <v>45.894269999999999</v>
      </c>
      <c r="AK1052" t="s">
        <v>1153</v>
      </c>
      <c r="AL1052">
        <v>-89.091289000000003</v>
      </c>
      <c r="AM1052">
        <v>100</v>
      </c>
      <c r="AN1052">
        <v>15600</v>
      </c>
      <c r="AO1052" t="s">
        <v>118</v>
      </c>
      <c r="AP1052">
        <v>145</v>
      </c>
      <c r="AQ1052">
        <v>118</v>
      </c>
      <c r="AR1052">
        <v>0</v>
      </c>
      <c r="AZ1052">
        <v>1200</v>
      </c>
      <c r="BA1052">
        <v>1</v>
      </c>
      <c r="BB1052" t="str">
        <f t="shared" si="51"/>
        <v xml:space="preserve">N690LS  </v>
      </c>
      <c r="BC1052">
        <v>1</v>
      </c>
      <c r="BE1052">
        <v>0</v>
      </c>
      <c r="BF1052">
        <v>0</v>
      </c>
      <c r="BG1052">
        <v>0</v>
      </c>
      <c r="BH1052">
        <v>16125</v>
      </c>
      <c r="BI1052">
        <v>1</v>
      </c>
      <c r="BJ1052">
        <v>1</v>
      </c>
      <c r="BK1052">
        <v>1</v>
      </c>
      <c r="BL1052">
        <v>0</v>
      </c>
      <c r="BO1052">
        <v>0</v>
      </c>
      <c r="BP1052">
        <v>0</v>
      </c>
      <c r="BW1052" t="str">
        <f>"13:59:15.900"</f>
        <v>13:59:15.900</v>
      </c>
      <c r="CJ1052">
        <v>0</v>
      </c>
      <c r="CK1052">
        <v>2</v>
      </c>
      <c r="CL1052">
        <v>0</v>
      </c>
      <c r="CM1052">
        <v>2</v>
      </c>
      <c r="CN1052">
        <v>0</v>
      </c>
      <c r="CO1052">
        <v>7</v>
      </c>
      <c r="CP1052" t="s">
        <v>119</v>
      </c>
      <c r="CQ1052">
        <v>209</v>
      </c>
      <c r="CR1052">
        <v>3</v>
      </c>
      <c r="CW1052">
        <v>7274641</v>
      </c>
      <c r="CY1052">
        <v>1</v>
      </c>
      <c r="CZ1052">
        <v>0</v>
      </c>
      <c r="DA1052">
        <v>1</v>
      </c>
      <c r="DB1052">
        <v>0</v>
      </c>
      <c r="DC1052">
        <v>0</v>
      </c>
      <c r="DD1052">
        <v>1</v>
      </c>
      <c r="DE1052">
        <v>0</v>
      </c>
      <c r="DF1052">
        <v>0</v>
      </c>
      <c r="DG1052">
        <v>0</v>
      </c>
      <c r="DH1052">
        <v>0</v>
      </c>
      <c r="DI1052">
        <v>0</v>
      </c>
    </row>
    <row r="1053" spans="1:113" x14ac:dyDescent="0.3">
      <c r="A1053" t="str">
        <f>"09/28/2021 13:59:17.040"</f>
        <v>09/28/2021 13:59:17.040</v>
      </c>
      <c r="C1053" t="str">
        <f t="shared" si="50"/>
        <v>FFDFD3C0</v>
      </c>
      <c r="D1053" t="s">
        <v>120</v>
      </c>
      <c r="E1053">
        <v>12</v>
      </c>
      <c r="F1053">
        <v>1012</v>
      </c>
      <c r="G1053" t="s">
        <v>114</v>
      </c>
      <c r="J1053" t="s">
        <v>121</v>
      </c>
      <c r="K1053">
        <v>0</v>
      </c>
      <c r="L1053">
        <v>3</v>
      </c>
      <c r="M1053">
        <v>0</v>
      </c>
      <c r="N1053">
        <v>2</v>
      </c>
      <c r="O1053">
        <v>1</v>
      </c>
      <c r="P1053">
        <v>0</v>
      </c>
      <c r="Q1053">
        <v>0</v>
      </c>
      <c r="S1053" t="str">
        <f>"13:59:16.828"</f>
        <v>13:59:16.828</v>
      </c>
      <c r="T1053" t="str">
        <f>"13:59:16.428"</f>
        <v>13:59:16.428</v>
      </c>
      <c r="U1053" t="str">
        <f t="shared" si="52"/>
        <v>A92BC1</v>
      </c>
      <c r="V1053">
        <v>0</v>
      </c>
      <c r="W1053">
        <v>0</v>
      </c>
      <c r="X1053">
        <v>2</v>
      </c>
      <c r="Z1053">
        <v>0</v>
      </c>
      <c r="AA1053">
        <v>9</v>
      </c>
      <c r="AB1053">
        <v>3</v>
      </c>
      <c r="AC1053">
        <v>0</v>
      </c>
      <c r="AD1053">
        <v>10</v>
      </c>
      <c r="AE1053">
        <v>0</v>
      </c>
      <c r="AF1053">
        <v>3</v>
      </c>
      <c r="AG1053">
        <v>2</v>
      </c>
      <c r="AH1053">
        <v>0</v>
      </c>
      <c r="AI1053" t="s">
        <v>1154</v>
      </c>
      <c r="AJ1053">
        <v>45.894784999999999</v>
      </c>
      <c r="AK1053" t="s">
        <v>1155</v>
      </c>
      <c r="AL1053">
        <v>-89.090322999999998</v>
      </c>
      <c r="AM1053">
        <v>100</v>
      </c>
      <c r="AN1053">
        <v>15600</v>
      </c>
      <c r="AO1053" t="s">
        <v>118</v>
      </c>
      <c r="AP1053">
        <v>144</v>
      </c>
      <c r="AQ1053">
        <v>117</v>
      </c>
      <c r="AR1053">
        <v>0</v>
      </c>
      <c r="AZ1053">
        <v>1200</v>
      </c>
      <c r="BA1053">
        <v>1</v>
      </c>
      <c r="BB1053" t="str">
        <f t="shared" si="51"/>
        <v xml:space="preserve">N690LS  </v>
      </c>
      <c r="BC1053">
        <v>1</v>
      </c>
      <c r="BE1053">
        <v>0</v>
      </c>
      <c r="BF1053">
        <v>0</v>
      </c>
      <c r="BG1053">
        <v>0</v>
      </c>
      <c r="BH1053">
        <v>16100</v>
      </c>
      <c r="BI1053">
        <v>1</v>
      </c>
      <c r="BJ1053">
        <v>1</v>
      </c>
      <c r="BK1053">
        <v>1</v>
      </c>
      <c r="BL1053">
        <v>0</v>
      </c>
      <c r="BO1053">
        <v>0</v>
      </c>
      <c r="BP1053">
        <v>0</v>
      </c>
      <c r="BW1053" t="str">
        <f>"13:59:16.834"</f>
        <v>13:59:16.834</v>
      </c>
      <c r="CJ1053">
        <v>0</v>
      </c>
      <c r="CK1053">
        <v>2</v>
      </c>
      <c r="CL1053">
        <v>0</v>
      </c>
      <c r="CM1053">
        <v>2</v>
      </c>
      <c r="CN1053">
        <v>0</v>
      </c>
      <c r="CO1053">
        <v>7</v>
      </c>
      <c r="CP1053" t="s">
        <v>119</v>
      </c>
      <c r="CQ1053">
        <v>197</v>
      </c>
      <c r="CR1053">
        <v>0</v>
      </c>
      <c r="CW1053">
        <v>16092418</v>
      </c>
      <c r="CY1053">
        <v>1</v>
      </c>
      <c r="CZ1053">
        <v>0</v>
      </c>
      <c r="DA1053">
        <v>0</v>
      </c>
      <c r="DB1053">
        <v>0</v>
      </c>
      <c r="DC1053">
        <v>0</v>
      </c>
      <c r="DD1053">
        <v>1</v>
      </c>
      <c r="DE1053">
        <v>0</v>
      </c>
      <c r="DF1053">
        <v>0</v>
      </c>
      <c r="DG1053">
        <v>0</v>
      </c>
      <c r="DH1053">
        <v>0</v>
      </c>
      <c r="DI1053">
        <v>0</v>
      </c>
    </row>
    <row r="1054" spans="1:113" x14ac:dyDescent="0.3">
      <c r="A1054" t="str">
        <f>"09/28/2021 13:59:17.056"</f>
        <v>09/28/2021 13:59:17.056</v>
      </c>
      <c r="C1054" t="str">
        <f t="shared" si="50"/>
        <v>FFDFD3C0</v>
      </c>
      <c r="D1054" t="s">
        <v>113</v>
      </c>
      <c r="E1054">
        <v>7</v>
      </c>
      <c r="H1054">
        <v>170</v>
      </c>
      <c r="I1054" t="s">
        <v>114</v>
      </c>
      <c r="J1054" t="s">
        <v>115</v>
      </c>
      <c r="K1054">
        <v>0</v>
      </c>
      <c r="L1054">
        <v>3</v>
      </c>
      <c r="M1054">
        <v>0</v>
      </c>
      <c r="N1054">
        <v>2</v>
      </c>
      <c r="O1054">
        <v>1</v>
      </c>
      <c r="P1054">
        <v>0</v>
      </c>
      <c r="Q1054">
        <v>0</v>
      </c>
      <c r="S1054" t="str">
        <f>"13:59:16.828"</f>
        <v>13:59:16.828</v>
      </c>
      <c r="T1054" t="str">
        <f>"13:59:16.428"</f>
        <v>13:59:16.428</v>
      </c>
      <c r="U1054" t="str">
        <f t="shared" si="52"/>
        <v>A92BC1</v>
      </c>
      <c r="V1054">
        <v>0</v>
      </c>
      <c r="W1054">
        <v>0</v>
      </c>
      <c r="X1054">
        <v>2</v>
      </c>
      <c r="Z1054">
        <v>0</v>
      </c>
      <c r="AA1054">
        <v>9</v>
      </c>
      <c r="AB1054">
        <v>3</v>
      </c>
      <c r="AC1054">
        <v>0</v>
      </c>
      <c r="AD1054">
        <v>10</v>
      </c>
      <c r="AE1054">
        <v>0</v>
      </c>
      <c r="AF1054">
        <v>3</v>
      </c>
      <c r="AG1054">
        <v>2</v>
      </c>
      <c r="AH1054">
        <v>0</v>
      </c>
      <c r="AI1054" t="s">
        <v>1154</v>
      </c>
      <c r="AJ1054">
        <v>45.894784999999999</v>
      </c>
      <c r="AK1054" t="s">
        <v>1155</v>
      </c>
      <c r="AL1054">
        <v>-89.090322999999998</v>
      </c>
      <c r="AM1054">
        <v>100</v>
      </c>
      <c r="AN1054">
        <v>15600</v>
      </c>
      <c r="AO1054" t="s">
        <v>118</v>
      </c>
      <c r="AP1054">
        <v>144</v>
      </c>
      <c r="AQ1054">
        <v>117</v>
      </c>
      <c r="AR1054">
        <v>0</v>
      </c>
      <c r="AZ1054">
        <v>1200</v>
      </c>
      <c r="BA1054">
        <v>1</v>
      </c>
      <c r="BB1054" t="str">
        <f t="shared" si="51"/>
        <v xml:space="preserve">N690LS  </v>
      </c>
      <c r="BC1054">
        <v>1</v>
      </c>
      <c r="BE1054">
        <v>0</v>
      </c>
      <c r="BF1054">
        <v>0</v>
      </c>
      <c r="BG1054">
        <v>0</v>
      </c>
      <c r="BH1054">
        <v>16100</v>
      </c>
      <c r="BI1054">
        <v>1</v>
      </c>
      <c r="BJ1054">
        <v>1</v>
      </c>
      <c r="BK1054">
        <v>1</v>
      </c>
      <c r="BL1054">
        <v>0</v>
      </c>
      <c r="BO1054">
        <v>0</v>
      </c>
      <c r="BP1054">
        <v>0</v>
      </c>
      <c r="BW1054" t="str">
        <f>"13:59:16.834"</f>
        <v>13:59:16.834</v>
      </c>
      <c r="CJ1054">
        <v>0</v>
      </c>
      <c r="CK1054">
        <v>2</v>
      </c>
      <c r="CL1054">
        <v>0</v>
      </c>
      <c r="CM1054">
        <v>2</v>
      </c>
      <c r="CN1054">
        <v>0</v>
      </c>
      <c r="CO1054">
        <v>7</v>
      </c>
      <c r="CP1054" t="s">
        <v>119</v>
      </c>
      <c r="CQ1054">
        <v>197</v>
      </c>
      <c r="CR1054">
        <v>0</v>
      </c>
      <c r="CW1054">
        <v>16092418</v>
      </c>
      <c r="CY1054">
        <v>1</v>
      </c>
      <c r="CZ1054">
        <v>0</v>
      </c>
      <c r="DA1054">
        <v>1</v>
      </c>
      <c r="DB1054">
        <v>0</v>
      </c>
      <c r="DC1054">
        <v>0</v>
      </c>
      <c r="DD1054">
        <v>1</v>
      </c>
      <c r="DE1054">
        <v>0</v>
      </c>
      <c r="DF1054">
        <v>0</v>
      </c>
      <c r="DG1054">
        <v>0</v>
      </c>
      <c r="DH1054">
        <v>0</v>
      </c>
      <c r="DI1054">
        <v>0</v>
      </c>
    </row>
    <row r="1055" spans="1:113" x14ac:dyDescent="0.3">
      <c r="A1055" t="str">
        <f>"09/28/2021 13:59:18.181"</f>
        <v>09/28/2021 13:59:18.181</v>
      </c>
      <c r="C1055" t="str">
        <f t="shared" si="50"/>
        <v>FFDFD3C0</v>
      </c>
      <c r="D1055" t="s">
        <v>113</v>
      </c>
      <c r="E1055">
        <v>7</v>
      </c>
      <c r="H1055">
        <v>170</v>
      </c>
      <c r="I1055" t="s">
        <v>114</v>
      </c>
      <c r="J1055" t="s">
        <v>115</v>
      </c>
      <c r="K1055">
        <v>0</v>
      </c>
      <c r="L1055">
        <v>3</v>
      </c>
      <c r="M1055">
        <v>0</v>
      </c>
      <c r="N1055">
        <v>2</v>
      </c>
      <c r="O1055">
        <v>1</v>
      </c>
      <c r="P1055">
        <v>0</v>
      </c>
      <c r="Q1055">
        <v>0</v>
      </c>
      <c r="S1055" t="str">
        <f>"13:59:17.906"</f>
        <v>13:59:17.906</v>
      </c>
      <c r="T1055" t="str">
        <f>"13:59:17.506"</f>
        <v>13:59:17.506</v>
      </c>
      <c r="U1055" t="str">
        <f t="shared" si="52"/>
        <v>A92BC1</v>
      </c>
      <c r="V1055">
        <v>0</v>
      </c>
      <c r="W1055">
        <v>0</v>
      </c>
      <c r="X1055">
        <v>2</v>
      </c>
      <c r="Z1055">
        <v>0</v>
      </c>
      <c r="AA1055">
        <v>9</v>
      </c>
      <c r="AB1055">
        <v>3</v>
      </c>
      <c r="AC1055">
        <v>0</v>
      </c>
      <c r="AD1055">
        <v>10</v>
      </c>
      <c r="AE1055">
        <v>0</v>
      </c>
      <c r="AF1055">
        <v>3</v>
      </c>
      <c r="AG1055">
        <v>2</v>
      </c>
      <c r="AH1055">
        <v>0</v>
      </c>
      <c r="AI1055" t="s">
        <v>1156</v>
      </c>
      <c r="AJ1055">
        <v>45.895342999999997</v>
      </c>
      <c r="AK1055" t="s">
        <v>1157</v>
      </c>
      <c r="AL1055">
        <v>-89.089444</v>
      </c>
      <c r="AM1055">
        <v>100</v>
      </c>
      <c r="AN1055">
        <v>15600</v>
      </c>
      <c r="AO1055" t="s">
        <v>118</v>
      </c>
      <c r="AP1055">
        <v>143</v>
      </c>
      <c r="AQ1055">
        <v>116</v>
      </c>
      <c r="AR1055">
        <v>-64</v>
      </c>
      <c r="AZ1055">
        <v>1200</v>
      </c>
      <c r="BA1055">
        <v>1</v>
      </c>
      <c r="BB1055" t="str">
        <f t="shared" si="51"/>
        <v xml:space="preserve">N690LS  </v>
      </c>
      <c r="BC1055">
        <v>1</v>
      </c>
      <c r="BE1055">
        <v>0</v>
      </c>
      <c r="BF1055">
        <v>0</v>
      </c>
      <c r="BG1055">
        <v>0</v>
      </c>
      <c r="BH1055">
        <v>16100</v>
      </c>
      <c r="BI1055">
        <v>1</v>
      </c>
      <c r="BJ1055">
        <v>1</v>
      </c>
      <c r="BK1055">
        <v>1</v>
      </c>
      <c r="BL1055">
        <v>0</v>
      </c>
      <c r="BO1055">
        <v>0</v>
      </c>
      <c r="BP1055">
        <v>0</v>
      </c>
      <c r="BW1055" t="str">
        <f>"13:59:17.914"</f>
        <v>13:59:17.914</v>
      </c>
      <c r="CJ1055">
        <v>0</v>
      </c>
      <c r="CK1055">
        <v>2</v>
      </c>
      <c r="CL1055">
        <v>0</v>
      </c>
      <c r="CM1055">
        <v>2</v>
      </c>
      <c r="CN1055">
        <v>0</v>
      </c>
      <c r="CO1055">
        <v>7</v>
      </c>
      <c r="CP1055" t="s">
        <v>119</v>
      </c>
      <c r="CQ1055">
        <v>209</v>
      </c>
      <c r="CR1055">
        <v>3</v>
      </c>
      <c r="CW1055">
        <v>7275295</v>
      </c>
      <c r="CY1055">
        <v>1</v>
      </c>
      <c r="CZ1055">
        <v>0</v>
      </c>
      <c r="DA1055">
        <v>0</v>
      </c>
      <c r="DB1055">
        <v>0</v>
      </c>
      <c r="DC1055">
        <v>0</v>
      </c>
      <c r="DD1055">
        <v>1</v>
      </c>
      <c r="DE1055">
        <v>0</v>
      </c>
      <c r="DF1055">
        <v>0</v>
      </c>
      <c r="DG1055">
        <v>0</v>
      </c>
      <c r="DH1055">
        <v>0</v>
      </c>
      <c r="DI1055">
        <v>0</v>
      </c>
    </row>
    <row r="1056" spans="1:113" x14ac:dyDescent="0.3">
      <c r="A1056" t="str">
        <f>"09/28/2021 13:59:18.181"</f>
        <v>09/28/2021 13:59:18.181</v>
      </c>
      <c r="C1056" t="str">
        <f t="shared" si="50"/>
        <v>FFDFD3C0</v>
      </c>
      <c r="D1056" t="s">
        <v>120</v>
      </c>
      <c r="E1056">
        <v>12</v>
      </c>
      <c r="F1056">
        <v>1012</v>
      </c>
      <c r="G1056" t="s">
        <v>114</v>
      </c>
      <c r="J1056" t="s">
        <v>121</v>
      </c>
      <c r="K1056">
        <v>0</v>
      </c>
      <c r="L1056">
        <v>3</v>
      </c>
      <c r="M1056">
        <v>0</v>
      </c>
      <c r="N1056">
        <v>2</v>
      </c>
      <c r="O1056">
        <v>1</v>
      </c>
      <c r="P1056">
        <v>0</v>
      </c>
      <c r="Q1056">
        <v>0</v>
      </c>
      <c r="S1056" t="str">
        <f>"13:59:17.906"</f>
        <v>13:59:17.906</v>
      </c>
      <c r="T1056" t="str">
        <f>"13:59:17.506"</f>
        <v>13:59:17.506</v>
      </c>
      <c r="U1056" t="str">
        <f t="shared" si="52"/>
        <v>A92BC1</v>
      </c>
      <c r="V1056">
        <v>0</v>
      </c>
      <c r="W1056">
        <v>0</v>
      </c>
      <c r="X1056">
        <v>2</v>
      </c>
      <c r="Z1056">
        <v>0</v>
      </c>
      <c r="AA1056">
        <v>9</v>
      </c>
      <c r="AB1056">
        <v>3</v>
      </c>
      <c r="AC1056">
        <v>0</v>
      </c>
      <c r="AD1056">
        <v>10</v>
      </c>
      <c r="AE1056">
        <v>0</v>
      </c>
      <c r="AF1056">
        <v>3</v>
      </c>
      <c r="AG1056">
        <v>2</v>
      </c>
      <c r="AH1056">
        <v>0</v>
      </c>
      <c r="AI1056" t="s">
        <v>1156</v>
      </c>
      <c r="AJ1056">
        <v>45.895342999999997</v>
      </c>
      <c r="AK1056" t="s">
        <v>1157</v>
      </c>
      <c r="AL1056">
        <v>-89.089444</v>
      </c>
      <c r="AM1056">
        <v>100</v>
      </c>
      <c r="AN1056">
        <v>15600</v>
      </c>
      <c r="AO1056" t="s">
        <v>118</v>
      </c>
      <c r="AP1056">
        <v>143</v>
      </c>
      <c r="AQ1056">
        <v>116</v>
      </c>
      <c r="AR1056">
        <v>-64</v>
      </c>
      <c r="AZ1056">
        <v>1200</v>
      </c>
      <c r="BA1056">
        <v>1</v>
      </c>
      <c r="BB1056" t="str">
        <f t="shared" si="51"/>
        <v xml:space="preserve">N690LS  </v>
      </c>
      <c r="BC1056">
        <v>1</v>
      </c>
      <c r="BE1056">
        <v>0</v>
      </c>
      <c r="BF1056">
        <v>0</v>
      </c>
      <c r="BG1056">
        <v>0</v>
      </c>
      <c r="BH1056">
        <v>16100</v>
      </c>
      <c r="BI1056">
        <v>1</v>
      </c>
      <c r="BJ1056">
        <v>1</v>
      </c>
      <c r="BK1056">
        <v>1</v>
      </c>
      <c r="BL1056">
        <v>0</v>
      </c>
      <c r="BO1056">
        <v>0</v>
      </c>
      <c r="BP1056">
        <v>0</v>
      </c>
      <c r="BW1056" t="str">
        <f>"13:59:17.914"</f>
        <v>13:59:17.914</v>
      </c>
      <c r="CJ1056">
        <v>0</v>
      </c>
      <c r="CK1056">
        <v>2</v>
      </c>
      <c r="CL1056">
        <v>0</v>
      </c>
      <c r="CM1056">
        <v>2</v>
      </c>
      <c r="CN1056">
        <v>0</v>
      </c>
      <c r="CO1056">
        <v>7</v>
      </c>
      <c r="CP1056" t="s">
        <v>119</v>
      </c>
      <c r="CQ1056">
        <v>209</v>
      </c>
      <c r="CR1056">
        <v>3</v>
      </c>
      <c r="CW1056">
        <v>7275295</v>
      </c>
      <c r="CY1056">
        <v>1</v>
      </c>
      <c r="CZ1056">
        <v>0</v>
      </c>
      <c r="DA1056">
        <v>1</v>
      </c>
      <c r="DB1056">
        <v>0</v>
      </c>
      <c r="DC1056">
        <v>0</v>
      </c>
      <c r="DD1056">
        <v>1</v>
      </c>
      <c r="DE1056">
        <v>0</v>
      </c>
      <c r="DF1056">
        <v>0</v>
      </c>
      <c r="DG1056">
        <v>0</v>
      </c>
      <c r="DH1056">
        <v>0</v>
      </c>
      <c r="DI1056">
        <v>0</v>
      </c>
    </row>
    <row r="1057" spans="1:113" x14ac:dyDescent="0.3">
      <c r="A1057" t="str">
        <f>"09/28/2021 13:59:19.103"</f>
        <v>09/28/2021 13:59:19.103</v>
      </c>
      <c r="C1057" t="str">
        <f t="shared" si="50"/>
        <v>FFDFD3C0</v>
      </c>
      <c r="D1057" t="s">
        <v>113</v>
      </c>
      <c r="E1057">
        <v>7</v>
      </c>
      <c r="H1057">
        <v>170</v>
      </c>
      <c r="I1057" t="s">
        <v>114</v>
      </c>
      <c r="J1057" t="s">
        <v>115</v>
      </c>
      <c r="K1057">
        <v>0</v>
      </c>
      <c r="L1057">
        <v>3</v>
      </c>
      <c r="M1057">
        <v>0</v>
      </c>
      <c r="N1057">
        <v>2</v>
      </c>
      <c r="O1057">
        <v>1</v>
      </c>
      <c r="P1057">
        <v>0</v>
      </c>
      <c r="Q1057">
        <v>0</v>
      </c>
      <c r="S1057" t="str">
        <f>"13:59:18.883"</f>
        <v>13:59:18.883</v>
      </c>
      <c r="T1057" t="str">
        <f>"13:59:18.483"</f>
        <v>13:59:18.483</v>
      </c>
      <c r="U1057" t="str">
        <f t="shared" si="52"/>
        <v>A92BC1</v>
      </c>
      <c r="V1057">
        <v>0</v>
      </c>
      <c r="W1057">
        <v>0</v>
      </c>
      <c r="X1057">
        <v>2</v>
      </c>
      <c r="Z1057">
        <v>0</v>
      </c>
      <c r="AA1057">
        <v>9</v>
      </c>
      <c r="AB1057">
        <v>3</v>
      </c>
      <c r="AC1057">
        <v>0</v>
      </c>
      <c r="AD1057">
        <v>10</v>
      </c>
      <c r="AE1057">
        <v>0</v>
      </c>
      <c r="AF1057">
        <v>3</v>
      </c>
      <c r="AG1057">
        <v>2</v>
      </c>
      <c r="AH1057">
        <v>0</v>
      </c>
      <c r="AI1057" t="s">
        <v>1158</v>
      </c>
      <c r="AJ1057">
        <v>45.895857999999997</v>
      </c>
      <c r="AK1057" t="s">
        <v>1159</v>
      </c>
      <c r="AL1057">
        <v>-89.088477999999995</v>
      </c>
      <c r="AM1057">
        <v>100</v>
      </c>
      <c r="AN1057">
        <v>15600</v>
      </c>
      <c r="AO1057" t="s">
        <v>118</v>
      </c>
      <c r="AP1057">
        <v>142</v>
      </c>
      <c r="AQ1057">
        <v>115</v>
      </c>
      <c r="AR1057">
        <v>-64</v>
      </c>
      <c r="AZ1057">
        <v>1200</v>
      </c>
      <c r="BA1057">
        <v>1</v>
      </c>
      <c r="BB1057" t="str">
        <f t="shared" si="51"/>
        <v xml:space="preserve">N690LS  </v>
      </c>
      <c r="BC1057">
        <v>1</v>
      </c>
      <c r="BE1057">
        <v>0</v>
      </c>
      <c r="BF1057">
        <v>0</v>
      </c>
      <c r="BG1057">
        <v>0</v>
      </c>
      <c r="BH1057">
        <v>16100</v>
      </c>
      <c r="BI1057">
        <v>1</v>
      </c>
      <c r="BJ1057">
        <v>1</v>
      </c>
      <c r="BK1057">
        <v>1</v>
      </c>
      <c r="BL1057">
        <v>0</v>
      </c>
      <c r="BO1057">
        <v>0</v>
      </c>
      <c r="BP1057">
        <v>0</v>
      </c>
      <c r="BW1057" t="str">
        <f>"13:59:18.884"</f>
        <v>13:59:18.884</v>
      </c>
      <c r="CJ1057">
        <v>0</v>
      </c>
      <c r="CK1057">
        <v>2</v>
      </c>
      <c r="CL1057">
        <v>0</v>
      </c>
      <c r="CM1057">
        <v>2</v>
      </c>
      <c r="CN1057">
        <v>0</v>
      </c>
      <c r="CO1057">
        <v>7</v>
      </c>
      <c r="CP1057" t="s">
        <v>119</v>
      </c>
      <c r="CQ1057">
        <v>209</v>
      </c>
      <c r="CR1057">
        <v>3</v>
      </c>
      <c r="CW1057">
        <v>7275609</v>
      </c>
      <c r="CY1057">
        <v>1</v>
      </c>
      <c r="CZ1057">
        <v>0</v>
      </c>
      <c r="DA1057">
        <v>0</v>
      </c>
      <c r="DB1057">
        <v>0</v>
      </c>
      <c r="DC1057">
        <v>0</v>
      </c>
      <c r="DD1057">
        <v>1</v>
      </c>
      <c r="DE1057">
        <v>0</v>
      </c>
      <c r="DF1057">
        <v>0</v>
      </c>
      <c r="DG1057">
        <v>0</v>
      </c>
      <c r="DH1057">
        <v>0</v>
      </c>
      <c r="DI1057">
        <v>0</v>
      </c>
    </row>
    <row r="1058" spans="1:113" x14ac:dyDescent="0.3">
      <c r="A1058" t="str">
        <f>"09/28/2021 13:59:19.103"</f>
        <v>09/28/2021 13:59:19.103</v>
      </c>
      <c r="C1058" t="str">
        <f t="shared" si="50"/>
        <v>FFDFD3C0</v>
      </c>
      <c r="D1058" t="s">
        <v>120</v>
      </c>
      <c r="E1058">
        <v>12</v>
      </c>
      <c r="F1058">
        <v>1012</v>
      </c>
      <c r="G1058" t="s">
        <v>114</v>
      </c>
      <c r="J1058" t="s">
        <v>121</v>
      </c>
      <c r="K1058">
        <v>0</v>
      </c>
      <c r="L1058">
        <v>3</v>
      </c>
      <c r="M1058">
        <v>0</v>
      </c>
      <c r="N1058">
        <v>2</v>
      </c>
      <c r="O1058">
        <v>1</v>
      </c>
      <c r="P1058">
        <v>0</v>
      </c>
      <c r="Q1058">
        <v>0</v>
      </c>
      <c r="S1058" t="str">
        <f>"13:59:18.883"</f>
        <v>13:59:18.883</v>
      </c>
      <c r="T1058" t="str">
        <f>"13:59:18.483"</f>
        <v>13:59:18.483</v>
      </c>
      <c r="U1058" t="str">
        <f t="shared" si="52"/>
        <v>A92BC1</v>
      </c>
      <c r="V1058">
        <v>0</v>
      </c>
      <c r="W1058">
        <v>0</v>
      </c>
      <c r="X1058">
        <v>2</v>
      </c>
      <c r="Z1058">
        <v>0</v>
      </c>
      <c r="AA1058">
        <v>9</v>
      </c>
      <c r="AB1058">
        <v>3</v>
      </c>
      <c r="AC1058">
        <v>0</v>
      </c>
      <c r="AD1058">
        <v>10</v>
      </c>
      <c r="AE1058">
        <v>0</v>
      </c>
      <c r="AF1058">
        <v>3</v>
      </c>
      <c r="AG1058">
        <v>2</v>
      </c>
      <c r="AH1058">
        <v>0</v>
      </c>
      <c r="AI1058" t="s">
        <v>1158</v>
      </c>
      <c r="AJ1058">
        <v>45.895857999999997</v>
      </c>
      <c r="AK1058" t="s">
        <v>1159</v>
      </c>
      <c r="AL1058">
        <v>-89.088477999999995</v>
      </c>
      <c r="AM1058">
        <v>100</v>
      </c>
      <c r="AN1058">
        <v>15600</v>
      </c>
      <c r="AO1058" t="s">
        <v>118</v>
      </c>
      <c r="AP1058">
        <v>142</v>
      </c>
      <c r="AQ1058">
        <v>115</v>
      </c>
      <c r="AR1058">
        <v>-64</v>
      </c>
      <c r="AZ1058">
        <v>1200</v>
      </c>
      <c r="BA1058">
        <v>1</v>
      </c>
      <c r="BB1058" t="str">
        <f t="shared" si="51"/>
        <v xml:space="preserve">N690LS  </v>
      </c>
      <c r="BC1058">
        <v>1</v>
      </c>
      <c r="BE1058">
        <v>0</v>
      </c>
      <c r="BF1058">
        <v>0</v>
      </c>
      <c r="BG1058">
        <v>0</v>
      </c>
      <c r="BH1058">
        <v>16100</v>
      </c>
      <c r="BI1058">
        <v>1</v>
      </c>
      <c r="BJ1058">
        <v>1</v>
      </c>
      <c r="BK1058">
        <v>1</v>
      </c>
      <c r="BL1058">
        <v>0</v>
      </c>
      <c r="BO1058">
        <v>0</v>
      </c>
      <c r="BP1058">
        <v>0</v>
      </c>
      <c r="BW1058" t="str">
        <f>"13:59:18.884"</f>
        <v>13:59:18.884</v>
      </c>
      <c r="CJ1058">
        <v>0</v>
      </c>
      <c r="CK1058">
        <v>2</v>
      </c>
      <c r="CL1058">
        <v>0</v>
      </c>
      <c r="CM1058">
        <v>2</v>
      </c>
      <c r="CN1058">
        <v>0</v>
      </c>
      <c r="CO1058">
        <v>7</v>
      </c>
      <c r="CP1058" t="s">
        <v>119</v>
      </c>
      <c r="CQ1058">
        <v>209</v>
      </c>
      <c r="CR1058">
        <v>3</v>
      </c>
      <c r="CW1058">
        <v>7275609</v>
      </c>
      <c r="CY1058">
        <v>1</v>
      </c>
      <c r="CZ1058">
        <v>0</v>
      </c>
      <c r="DA1058">
        <v>1</v>
      </c>
      <c r="DB1058">
        <v>0</v>
      </c>
      <c r="DC1058">
        <v>0</v>
      </c>
      <c r="DD1058">
        <v>1</v>
      </c>
      <c r="DE1058">
        <v>0</v>
      </c>
      <c r="DF1058">
        <v>0</v>
      </c>
      <c r="DG1058">
        <v>0</v>
      </c>
      <c r="DH1058">
        <v>0</v>
      </c>
      <c r="DI1058">
        <v>0</v>
      </c>
    </row>
    <row r="1059" spans="1:113" x14ac:dyDescent="0.3">
      <c r="A1059" t="str">
        <f>"09/28/2021 13:59:20.026"</f>
        <v>09/28/2021 13:59:20.026</v>
      </c>
      <c r="C1059" t="str">
        <f t="shared" si="50"/>
        <v>FFDFD3C0</v>
      </c>
      <c r="D1059" t="s">
        <v>113</v>
      </c>
      <c r="E1059">
        <v>7</v>
      </c>
      <c r="H1059">
        <v>170</v>
      </c>
      <c r="I1059" t="s">
        <v>114</v>
      </c>
      <c r="J1059" t="s">
        <v>115</v>
      </c>
      <c r="K1059">
        <v>0</v>
      </c>
      <c r="L1059">
        <v>3</v>
      </c>
      <c r="M1059">
        <v>0</v>
      </c>
      <c r="N1059">
        <v>2</v>
      </c>
      <c r="O1059">
        <v>1</v>
      </c>
      <c r="P1059">
        <v>0</v>
      </c>
      <c r="Q1059">
        <v>0</v>
      </c>
      <c r="S1059" t="str">
        <f>"13:59:19.813"</f>
        <v>13:59:19.813</v>
      </c>
      <c r="T1059" t="str">
        <f>"13:59:19.413"</f>
        <v>13:59:19.413</v>
      </c>
      <c r="U1059" t="str">
        <f t="shared" si="52"/>
        <v>A92BC1</v>
      </c>
      <c r="V1059">
        <v>0</v>
      </c>
      <c r="W1059">
        <v>0</v>
      </c>
      <c r="X1059">
        <v>2</v>
      </c>
      <c r="Z1059">
        <v>0</v>
      </c>
      <c r="AA1059">
        <v>9</v>
      </c>
      <c r="AB1059">
        <v>3</v>
      </c>
      <c r="AC1059">
        <v>0</v>
      </c>
      <c r="AD1059">
        <v>10</v>
      </c>
      <c r="AE1059">
        <v>0</v>
      </c>
      <c r="AF1059">
        <v>3</v>
      </c>
      <c r="AG1059">
        <v>2</v>
      </c>
      <c r="AH1059">
        <v>0</v>
      </c>
      <c r="AI1059" t="s">
        <v>1160</v>
      </c>
      <c r="AJ1059">
        <v>45.896351000000003</v>
      </c>
      <c r="AK1059" t="s">
        <v>1161</v>
      </c>
      <c r="AL1059">
        <v>-89.087663000000006</v>
      </c>
      <c r="AM1059">
        <v>100</v>
      </c>
      <c r="AN1059">
        <v>15600</v>
      </c>
      <c r="AO1059" t="s">
        <v>118</v>
      </c>
      <c r="AP1059">
        <v>141</v>
      </c>
      <c r="AQ1059">
        <v>115</v>
      </c>
      <c r="AR1059">
        <v>-64</v>
      </c>
      <c r="AZ1059">
        <v>1200</v>
      </c>
      <c r="BA1059">
        <v>1</v>
      </c>
      <c r="BB1059" t="str">
        <f t="shared" si="51"/>
        <v xml:space="preserve">N690LS  </v>
      </c>
      <c r="BC1059">
        <v>1</v>
      </c>
      <c r="BE1059">
        <v>0</v>
      </c>
      <c r="BF1059">
        <v>0</v>
      </c>
      <c r="BG1059">
        <v>0</v>
      </c>
      <c r="BH1059">
        <v>16100</v>
      </c>
      <c r="BI1059">
        <v>1</v>
      </c>
      <c r="BJ1059">
        <v>1</v>
      </c>
      <c r="BK1059">
        <v>1</v>
      </c>
      <c r="BL1059">
        <v>0</v>
      </c>
      <c r="BO1059">
        <v>0</v>
      </c>
      <c r="BP1059">
        <v>0</v>
      </c>
      <c r="BW1059" t="str">
        <f>"13:59:19.816"</f>
        <v>13:59:19.816</v>
      </c>
      <c r="CJ1059">
        <v>0</v>
      </c>
      <c r="CK1059">
        <v>2</v>
      </c>
      <c r="CL1059">
        <v>0</v>
      </c>
      <c r="CM1059">
        <v>2</v>
      </c>
      <c r="CN1059">
        <v>0</v>
      </c>
      <c r="CO1059">
        <v>7</v>
      </c>
      <c r="CP1059" t="s">
        <v>119</v>
      </c>
      <c r="CQ1059">
        <v>209</v>
      </c>
      <c r="CR1059">
        <v>3</v>
      </c>
      <c r="CW1059">
        <v>7275884</v>
      </c>
      <c r="CY1059">
        <v>1</v>
      </c>
      <c r="CZ1059">
        <v>0</v>
      </c>
      <c r="DA1059">
        <v>0</v>
      </c>
      <c r="DB1059">
        <v>0</v>
      </c>
      <c r="DC1059">
        <v>0</v>
      </c>
      <c r="DD1059">
        <v>1</v>
      </c>
      <c r="DE1059">
        <v>0</v>
      </c>
      <c r="DF1059">
        <v>0</v>
      </c>
      <c r="DG1059">
        <v>0</v>
      </c>
      <c r="DH1059">
        <v>0</v>
      </c>
      <c r="DI1059">
        <v>0</v>
      </c>
    </row>
    <row r="1060" spans="1:113" x14ac:dyDescent="0.3">
      <c r="A1060" t="str">
        <f>"09/28/2021 13:59:20.026"</f>
        <v>09/28/2021 13:59:20.026</v>
      </c>
      <c r="C1060" t="str">
        <f t="shared" si="50"/>
        <v>FFDFD3C0</v>
      </c>
      <c r="D1060" t="s">
        <v>120</v>
      </c>
      <c r="E1060">
        <v>12</v>
      </c>
      <c r="F1060">
        <v>1012</v>
      </c>
      <c r="G1060" t="s">
        <v>114</v>
      </c>
      <c r="J1060" t="s">
        <v>121</v>
      </c>
      <c r="K1060">
        <v>0</v>
      </c>
      <c r="L1060">
        <v>3</v>
      </c>
      <c r="M1060">
        <v>0</v>
      </c>
      <c r="N1060">
        <v>2</v>
      </c>
      <c r="O1060">
        <v>1</v>
      </c>
      <c r="P1060">
        <v>0</v>
      </c>
      <c r="Q1060">
        <v>0</v>
      </c>
      <c r="S1060" t="str">
        <f>"13:59:19.813"</f>
        <v>13:59:19.813</v>
      </c>
      <c r="T1060" t="str">
        <f>"13:59:19.413"</f>
        <v>13:59:19.413</v>
      </c>
      <c r="U1060" t="str">
        <f t="shared" si="52"/>
        <v>A92BC1</v>
      </c>
      <c r="V1060">
        <v>0</v>
      </c>
      <c r="W1060">
        <v>0</v>
      </c>
      <c r="X1060">
        <v>2</v>
      </c>
      <c r="Z1060">
        <v>0</v>
      </c>
      <c r="AA1060">
        <v>9</v>
      </c>
      <c r="AB1060">
        <v>3</v>
      </c>
      <c r="AC1060">
        <v>0</v>
      </c>
      <c r="AD1060">
        <v>10</v>
      </c>
      <c r="AE1060">
        <v>0</v>
      </c>
      <c r="AF1060">
        <v>3</v>
      </c>
      <c r="AG1060">
        <v>2</v>
      </c>
      <c r="AH1060">
        <v>0</v>
      </c>
      <c r="AI1060" t="s">
        <v>1160</v>
      </c>
      <c r="AJ1060">
        <v>45.896351000000003</v>
      </c>
      <c r="AK1060" t="s">
        <v>1161</v>
      </c>
      <c r="AL1060">
        <v>-89.087663000000006</v>
      </c>
      <c r="AM1060">
        <v>100</v>
      </c>
      <c r="AN1060">
        <v>15600</v>
      </c>
      <c r="AO1060" t="s">
        <v>118</v>
      </c>
      <c r="AP1060">
        <v>141</v>
      </c>
      <c r="AQ1060">
        <v>115</v>
      </c>
      <c r="AR1060">
        <v>-64</v>
      </c>
      <c r="AZ1060">
        <v>1200</v>
      </c>
      <c r="BA1060">
        <v>1</v>
      </c>
      <c r="BB1060" t="str">
        <f t="shared" si="51"/>
        <v xml:space="preserve">N690LS  </v>
      </c>
      <c r="BC1060">
        <v>1</v>
      </c>
      <c r="BE1060">
        <v>0</v>
      </c>
      <c r="BF1060">
        <v>0</v>
      </c>
      <c r="BG1060">
        <v>0</v>
      </c>
      <c r="BH1060">
        <v>16100</v>
      </c>
      <c r="BI1060">
        <v>1</v>
      </c>
      <c r="BJ1060">
        <v>1</v>
      </c>
      <c r="BK1060">
        <v>1</v>
      </c>
      <c r="BL1060">
        <v>0</v>
      </c>
      <c r="BO1060">
        <v>0</v>
      </c>
      <c r="BP1060">
        <v>0</v>
      </c>
      <c r="BW1060" t="str">
        <f>"13:59:19.816"</f>
        <v>13:59:19.816</v>
      </c>
      <c r="CJ1060">
        <v>0</v>
      </c>
      <c r="CK1060">
        <v>2</v>
      </c>
      <c r="CL1060">
        <v>0</v>
      </c>
      <c r="CM1060">
        <v>2</v>
      </c>
      <c r="CN1060">
        <v>0</v>
      </c>
      <c r="CO1060">
        <v>7</v>
      </c>
      <c r="CP1060" t="s">
        <v>119</v>
      </c>
      <c r="CQ1060">
        <v>209</v>
      </c>
      <c r="CR1060">
        <v>3</v>
      </c>
      <c r="CW1060">
        <v>7275884</v>
      </c>
      <c r="CY1060">
        <v>1</v>
      </c>
      <c r="CZ1060">
        <v>0</v>
      </c>
      <c r="DA1060">
        <v>1</v>
      </c>
      <c r="DB1060">
        <v>0</v>
      </c>
      <c r="DC1060">
        <v>0</v>
      </c>
      <c r="DD1060">
        <v>1</v>
      </c>
      <c r="DE1060">
        <v>0</v>
      </c>
      <c r="DF1060">
        <v>0</v>
      </c>
      <c r="DG1060">
        <v>0</v>
      </c>
      <c r="DH1060">
        <v>0</v>
      </c>
      <c r="DI1060">
        <v>0</v>
      </c>
    </row>
    <row r="1061" spans="1:113" x14ac:dyDescent="0.3">
      <c r="A1061" t="str">
        <f>"09/28/2021 13:59:20.979"</f>
        <v>09/28/2021 13:59:20.979</v>
      </c>
      <c r="C1061" t="str">
        <f t="shared" si="50"/>
        <v>FFDFD3C0</v>
      </c>
      <c r="D1061" t="s">
        <v>113</v>
      </c>
      <c r="E1061">
        <v>7</v>
      </c>
      <c r="H1061">
        <v>170</v>
      </c>
      <c r="I1061" t="s">
        <v>114</v>
      </c>
      <c r="J1061" t="s">
        <v>115</v>
      </c>
      <c r="K1061">
        <v>0</v>
      </c>
      <c r="L1061">
        <v>3</v>
      </c>
      <c r="M1061">
        <v>0</v>
      </c>
      <c r="N1061">
        <v>2</v>
      </c>
      <c r="O1061">
        <v>1</v>
      </c>
      <c r="P1061">
        <v>0</v>
      </c>
      <c r="Q1061">
        <v>0</v>
      </c>
      <c r="S1061" t="str">
        <f>"13:59:20.742"</f>
        <v>13:59:20.742</v>
      </c>
      <c r="T1061" t="str">
        <f>"13:59:20.342"</f>
        <v>13:59:20.342</v>
      </c>
      <c r="U1061" t="str">
        <f t="shared" si="52"/>
        <v>A92BC1</v>
      </c>
      <c r="V1061">
        <v>0</v>
      </c>
      <c r="W1061">
        <v>0</v>
      </c>
      <c r="X1061">
        <v>2</v>
      </c>
      <c r="Z1061">
        <v>0</v>
      </c>
      <c r="AA1061">
        <v>9</v>
      </c>
      <c r="AB1061">
        <v>3</v>
      </c>
      <c r="AC1061">
        <v>0</v>
      </c>
      <c r="AD1061">
        <v>10</v>
      </c>
      <c r="AE1061">
        <v>0</v>
      </c>
      <c r="AF1061">
        <v>3</v>
      </c>
      <c r="AG1061">
        <v>2</v>
      </c>
      <c r="AH1061">
        <v>0</v>
      </c>
      <c r="AI1061" t="s">
        <v>1162</v>
      </c>
      <c r="AJ1061">
        <v>45.896844999999999</v>
      </c>
      <c r="AK1061" t="s">
        <v>1163</v>
      </c>
      <c r="AL1061">
        <v>-89.086719000000002</v>
      </c>
      <c r="AM1061">
        <v>100</v>
      </c>
      <c r="AN1061">
        <v>15600</v>
      </c>
      <c r="AO1061" t="s">
        <v>118</v>
      </c>
      <c r="AP1061">
        <v>140</v>
      </c>
      <c r="AQ1061">
        <v>114</v>
      </c>
      <c r="AR1061">
        <v>-64</v>
      </c>
      <c r="AZ1061">
        <v>1200</v>
      </c>
      <c r="BA1061">
        <v>1</v>
      </c>
      <c r="BB1061" t="str">
        <f t="shared" si="51"/>
        <v xml:space="preserve">N690LS  </v>
      </c>
      <c r="BC1061">
        <v>1</v>
      </c>
      <c r="BE1061">
        <v>0</v>
      </c>
      <c r="BF1061">
        <v>0</v>
      </c>
      <c r="BG1061">
        <v>0</v>
      </c>
      <c r="BH1061">
        <v>16100</v>
      </c>
      <c r="BI1061">
        <v>1</v>
      </c>
      <c r="BJ1061">
        <v>1</v>
      </c>
      <c r="BK1061">
        <v>1</v>
      </c>
      <c r="BL1061">
        <v>0</v>
      </c>
      <c r="BO1061">
        <v>0</v>
      </c>
      <c r="BP1061">
        <v>0</v>
      </c>
      <c r="BW1061" t="str">
        <f>"13:59:20.743"</f>
        <v>13:59:20.743</v>
      </c>
      <c r="CJ1061">
        <v>0</v>
      </c>
      <c r="CK1061">
        <v>2</v>
      </c>
      <c r="CL1061">
        <v>0</v>
      </c>
      <c r="CM1061">
        <v>2</v>
      </c>
      <c r="CN1061">
        <v>0</v>
      </c>
      <c r="CO1061">
        <v>7</v>
      </c>
      <c r="CP1061" t="s">
        <v>119</v>
      </c>
      <c r="CQ1061">
        <v>197</v>
      </c>
      <c r="CR1061">
        <v>1</v>
      </c>
      <c r="CW1061">
        <v>7558050</v>
      </c>
      <c r="CY1061">
        <v>1</v>
      </c>
      <c r="CZ1061">
        <v>0</v>
      </c>
      <c r="DA1061">
        <v>0</v>
      </c>
      <c r="DB1061">
        <v>0</v>
      </c>
      <c r="DC1061">
        <v>0</v>
      </c>
      <c r="DD1061">
        <v>1</v>
      </c>
      <c r="DE1061">
        <v>0</v>
      </c>
      <c r="DF1061">
        <v>0</v>
      </c>
      <c r="DG1061">
        <v>0</v>
      </c>
      <c r="DH1061">
        <v>0</v>
      </c>
      <c r="DI1061">
        <v>0</v>
      </c>
    </row>
    <row r="1062" spans="1:113" x14ac:dyDescent="0.3">
      <c r="A1062" t="str">
        <f>"09/28/2021 13:59:20.979"</f>
        <v>09/28/2021 13:59:20.979</v>
      </c>
      <c r="C1062" t="str">
        <f t="shared" si="50"/>
        <v>FFDFD3C0</v>
      </c>
      <c r="D1062" t="s">
        <v>120</v>
      </c>
      <c r="E1062">
        <v>12</v>
      </c>
      <c r="F1062">
        <v>1012</v>
      </c>
      <c r="G1062" t="s">
        <v>114</v>
      </c>
      <c r="J1062" t="s">
        <v>121</v>
      </c>
      <c r="K1062">
        <v>0</v>
      </c>
      <c r="L1062">
        <v>3</v>
      </c>
      <c r="M1062">
        <v>0</v>
      </c>
      <c r="N1062">
        <v>2</v>
      </c>
      <c r="O1062">
        <v>1</v>
      </c>
      <c r="P1062">
        <v>0</v>
      </c>
      <c r="Q1062">
        <v>0</v>
      </c>
      <c r="S1062" t="str">
        <f>"13:59:20.742"</f>
        <v>13:59:20.742</v>
      </c>
      <c r="T1062" t="str">
        <f>"13:59:20.342"</f>
        <v>13:59:20.342</v>
      </c>
      <c r="U1062" t="str">
        <f t="shared" si="52"/>
        <v>A92BC1</v>
      </c>
      <c r="V1062">
        <v>0</v>
      </c>
      <c r="W1062">
        <v>0</v>
      </c>
      <c r="X1062">
        <v>2</v>
      </c>
      <c r="Z1062">
        <v>0</v>
      </c>
      <c r="AA1062">
        <v>9</v>
      </c>
      <c r="AB1062">
        <v>3</v>
      </c>
      <c r="AC1062">
        <v>0</v>
      </c>
      <c r="AD1062">
        <v>10</v>
      </c>
      <c r="AE1062">
        <v>0</v>
      </c>
      <c r="AF1062">
        <v>3</v>
      </c>
      <c r="AG1062">
        <v>2</v>
      </c>
      <c r="AH1062">
        <v>0</v>
      </c>
      <c r="AI1062" t="s">
        <v>1162</v>
      </c>
      <c r="AJ1062">
        <v>45.896844999999999</v>
      </c>
      <c r="AK1062" t="s">
        <v>1163</v>
      </c>
      <c r="AL1062">
        <v>-89.086719000000002</v>
      </c>
      <c r="AM1062">
        <v>100</v>
      </c>
      <c r="AN1062">
        <v>15600</v>
      </c>
      <c r="AO1062" t="s">
        <v>118</v>
      </c>
      <c r="AP1062">
        <v>140</v>
      </c>
      <c r="AQ1062">
        <v>114</v>
      </c>
      <c r="AR1062">
        <v>-64</v>
      </c>
      <c r="AZ1062">
        <v>1200</v>
      </c>
      <c r="BA1062">
        <v>1</v>
      </c>
      <c r="BB1062" t="str">
        <f t="shared" si="51"/>
        <v xml:space="preserve">N690LS  </v>
      </c>
      <c r="BC1062">
        <v>1</v>
      </c>
      <c r="BE1062">
        <v>0</v>
      </c>
      <c r="BF1062">
        <v>0</v>
      </c>
      <c r="BG1062">
        <v>0</v>
      </c>
      <c r="BH1062">
        <v>16100</v>
      </c>
      <c r="BI1062">
        <v>1</v>
      </c>
      <c r="BJ1062">
        <v>1</v>
      </c>
      <c r="BK1062">
        <v>1</v>
      </c>
      <c r="BL1062">
        <v>0</v>
      </c>
      <c r="BO1062">
        <v>0</v>
      </c>
      <c r="BP1062">
        <v>0</v>
      </c>
      <c r="BW1062" t="str">
        <f>"13:59:20.743"</f>
        <v>13:59:20.743</v>
      </c>
      <c r="CJ1062">
        <v>0</v>
      </c>
      <c r="CK1062">
        <v>2</v>
      </c>
      <c r="CL1062">
        <v>0</v>
      </c>
      <c r="CM1062">
        <v>2</v>
      </c>
      <c r="CN1062">
        <v>0</v>
      </c>
      <c r="CO1062">
        <v>7</v>
      </c>
      <c r="CP1062" t="s">
        <v>119</v>
      </c>
      <c r="CQ1062">
        <v>197</v>
      </c>
      <c r="CR1062">
        <v>1</v>
      </c>
      <c r="CW1062">
        <v>7558050</v>
      </c>
      <c r="CY1062">
        <v>1</v>
      </c>
      <c r="CZ1062">
        <v>0</v>
      </c>
      <c r="DA1062">
        <v>1</v>
      </c>
      <c r="DB1062">
        <v>0</v>
      </c>
      <c r="DC1062">
        <v>0</v>
      </c>
      <c r="DD1062">
        <v>1</v>
      </c>
      <c r="DE1062">
        <v>0</v>
      </c>
      <c r="DF1062">
        <v>0</v>
      </c>
      <c r="DG1062">
        <v>0</v>
      </c>
      <c r="DH1062">
        <v>0</v>
      </c>
      <c r="DI1062">
        <v>0</v>
      </c>
    </row>
    <row r="1063" spans="1:113" x14ac:dyDescent="0.3">
      <c r="A1063" t="str">
        <f>"09/28/2021 13:59:21.980"</f>
        <v>09/28/2021 13:59:21.980</v>
      </c>
      <c r="C1063" t="str">
        <f t="shared" ref="C1063:C1126" si="53">"FFDFD3C0"</f>
        <v>FFDFD3C0</v>
      </c>
      <c r="D1063" t="s">
        <v>113</v>
      </c>
      <c r="E1063">
        <v>7</v>
      </c>
      <c r="H1063">
        <v>170</v>
      </c>
      <c r="I1063" t="s">
        <v>114</v>
      </c>
      <c r="J1063" t="s">
        <v>115</v>
      </c>
      <c r="K1063">
        <v>0</v>
      </c>
      <c r="L1063">
        <v>3</v>
      </c>
      <c r="M1063">
        <v>0</v>
      </c>
      <c r="N1063">
        <v>2</v>
      </c>
      <c r="O1063">
        <v>1</v>
      </c>
      <c r="P1063">
        <v>0</v>
      </c>
      <c r="Q1063">
        <v>0</v>
      </c>
      <c r="S1063" t="str">
        <f>"13:59:21.750"</f>
        <v>13:59:21.750</v>
      </c>
      <c r="T1063" t="str">
        <f>"13:59:21.350"</f>
        <v>13:59:21.350</v>
      </c>
      <c r="U1063" t="str">
        <f t="shared" si="52"/>
        <v>A92BC1</v>
      </c>
      <c r="V1063">
        <v>0</v>
      </c>
      <c r="W1063">
        <v>0</v>
      </c>
      <c r="X1063">
        <v>2</v>
      </c>
      <c r="Z1063">
        <v>0</v>
      </c>
      <c r="AA1063">
        <v>9</v>
      </c>
      <c r="AB1063">
        <v>3</v>
      </c>
      <c r="AC1063">
        <v>0</v>
      </c>
      <c r="AD1063">
        <v>10</v>
      </c>
      <c r="AE1063">
        <v>0</v>
      </c>
      <c r="AF1063">
        <v>3</v>
      </c>
      <c r="AG1063">
        <v>2</v>
      </c>
      <c r="AH1063">
        <v>0</v>
      </c>
      <c r="AI1063" t="s">
        <v>1164</v>
      </c>
      <c r="AJ1063">
        <v>45.897402999999997</v>
      </c>
      <c r="AK1063" t="s">
        <v>1165</v>
      </c>
      <c r="AL1063">
        <v>-89.085796000000002</v>
      </c>
      <c r="AM1063">
        <v>100</v>
      </c>
      <c r="AN1063">
        <v>15600</v>
      </c>
      <c r="AO1063" t="s">
        <v>118</v>
      </c>
      <c r="AP1063">
        <v>139</v>
      </c>
      <c r="AQ1063">
        <v>113</v>
      </c>
      <c r="AR1063">
        <v>-64</v>
      </c>
      <c r="AZ1063">
        <v>1200</v>
      </c>
      <c r="BA1063">
        <v>1</v>
      </c>
      <c r="BB1063" t="str">
        <f t="shared" ref="BB1063:BB1126" si="54">"N690LS  "</f>
        <v xml:space="preserve">N690LS  </v>
      </c>
      <c r="BC1063">
        <v>1</v>
      </c>
      <c r="BE1063">
        <v>0</v>
      </c>
      <c r="BF1063">
        <v>0</v>
      </c>
      <c r="BG1063">
        <v>0</v>
      </c>
      <c r="BH1063">
        <v>16100</v>
      </c>
      <c r="BI1063">
        <v>1</v>
      </c>
      <c r="BJ1063">
        <v>1</v>
      </c>
      <c r="BK1063">
        <v>1</v>
      </c>
      <c r="BL1063">
        <v>0</v>
      </c>
      <c r="BO1063">
        <v>0</v>
      </c>
      <c r="BP1063">
        <v>0</v>
      </c>
      <c r="BW1063" t="str">
        <f>"13:59:21.753"</f>
        <v>13:59:21.753</v>
      </c>
      <c r="CJ1063">
        <v>0</v>
      </c>
      <c r="CK1063">
        <v>2</v>
      </c>
      <c r="CL1063">
        <v>0</v>
      </c>
      <c r="CM1063">
        <v>2</v>
      </c>
      <c r="CN1063">
        <v>0</v>
      </c>
      <c r="CO1063">
        <v>7</v>
      </c>
      <c r="CP1063" t="s">
        <v>119</v>
      </c>
      <c r="CQ1063">
        <v>209</v>
      </c>
      <c r="CR1063">
        <v>3</v>
      </c>
      <c r="CW1063">
        <v>7276488</v>
      </c>
      <c r="CY1063">
        <v>1</v>
      </c>
      <c r="CZ1063">
        <v>0</v>
      </c>
      <c r="DA1063">
        <v>0</v>
      </c>
      <c r="DB1063">
        <v>0</v>
      </c>
      <c r="DC1063">
        <v>0</v>
      </c>
      <c r="DD1063">
        <v>1</v>
      </c>
      <c r="DE1063">
        <v>0</v>
      </c>
      <c r="DF1063">
        <v>0</v>
      </c>
      <c r="DG1063">
        <v>0</v>
      </c>
      <c r="DH1063">
        <v>0</v>
      </c>
      <c r="DI1063">
        <v>0</v>
      </c>
    </row>
    <row r="1064" spans="1:113" x14ac:dyDescent="0.3">
      <c r="A1064" t="str">
        <f>"09/28/2021 13:59:21.980"</f>
        <v>09/28/2021 13:59:21.980</v>
      </c>
      <c r="C1064" t="str">
        <f t="shared" si="53"/>
        <v>FFDFD3C0</v>
      </c>
      <c r="D1064" t="s">
        <v>120</v>
      </c>
      <c r="E1064">
        <v>12</v>
      </c>
      <c r="F1064">
        <v>1012</v>
      </c>
      <c r="G1064" t="s">
        <v>114</v>
      </c>
      <c r="J1064" t="s">
        <v>121</v>
      </c>
      <c r="K1064">
        <v>0</v>
      </c>
      <c r="L1064">
        <v>3</v>
      </c>
      <c r="M1064">
        <v>0</v>
      </c>
      <c r="N1064">
        <v>2</v>
      </c>
      <c r="O1064">
        <v>1</v>
      </c>
      <c r="P1064">
        <v>0</v>
      </c>
      <c r="Q1064">
        <v>0</v>
      </c>
      <c r="S1064" t="str">
        <f>"13:59:21.750"</f>
        <v>13:59:21.750</v>
      </c>
      <c r="T1064" t="str">
        <f>"13:59:21.350"</f>
        <v>13:59:21.350</v>
      </c>
      <c r="U1064" t="str">
        <f t="shared" si="52"/>
        <v>A92BC1</v>
      </c>
      <c r="V1064">
        <v>0</v>
      </c>
      <c r="W1064">
        <v>0</v>
      </c>
      <c r="X1064">
        <v>2</v>
      </c>
      <c r="Z1064">
        <v>0</v>
      </c>
      <c r="AA1064">
        <v>9</v>
      </c>
      <c r="AB1064">
        <v>3</v>
      </c>
      <c r="AC1064">
        <v>0</v>
      </c>
      <c r="AD1064">
        <v>10</v>
      </c>
      <c r="AE1064">
        <v>0</v>
      </c>
      <c r="AF1064">
        <v>3</v>
      </c>
      <c r="AG1064">
        <v>2</v>
      </c>
      <c r="AH1064">
        <v>0</v>
      </c>
      <c r="AI1064" t="s">
        <v>1164</v>
      </c>
      <c r="AJ1064">
        <v>45.897402999999997</v>
      </c>
      <c r="AK1064" t="s">
        <v>1165</v>
      </c>
      <c r="AL1064">
        <v>-89.085796000000002</v>
      </c>
      <c r="AM1064">
        <v>100</v>
      </c>
      <c r="AN1064">
        <v>15600</v>
      </c>
      <c r="AO1064" t="s">
        <v>118</v>
      </c>
      <c r="AP1064">
        <v>139</v>
      </c>
      <c r="AQ1064">
        <v>113</v>
      </c>
      <c r="AR1064">
        <v>-64</v>
      </c>
      <c r="AZ1064">
        <v>1200</v>
      </c>
      <c r="BA1064">
        <v>1</v>
      </c>
      <c r="BB1064" t="str">
        <f t="shared" si="54"/>
        <v xml:space="preserve">N690LS  </v>
      </c>
      <c r="BC1064">
        <v>1</v>
      </c>
      <c r="BE1064">
        <v>0</v>
      </c>
      <c r="BF1064">
        <v>0</v>
      </c>
      <c r="BG1064">
        <v>0</v>
      </c>
      <c r="BH1064">
        <v>16100</v>
      </c>
      <c r="BI1064">
        <v>1</v>
      </c>
      <c r="BJ1064">
        <v>1</v>
      </c>
      <c r="BK1064">
        <v>1</v>
      </c>
      <c r="BL1064">
        <v>0</v>
      </c>
      <c r="BO1064">
        <v>0</v>
      </c>
      <c r="BP1064">
        <v>0</v>
      </c>
      <c r="BW1064" t="str">
        <f>"13:59:21.753"</f>
        <v>13:59:21.753</v>
      </c>
      <c r="CJ1064">
        <v>0</v>
      </c>
      <c r="CK1064">
        <v>2</v>
      </c>
      <c r="CL1064">
        <v>0</v>
      </c>
      <c r="CM1064">
        <v>2</v>
      </c>
      <c r="CN1064">
        <v>0</v>
      </c>
      <c r="CO1064">
        <v>7</v>
      </c>
      <c r="CP1064" t="s">
        <v>119</v>
      </c>
      <c r="CQ1064">
        <v>209</v>
      </c>
      <c r="CR1064">
        <v>3</v>
      </c>
      <c r="CW1064">
        <v>7276488</v>
      </c>
      <c r="CY1064">
        <v>1</v>
      </c>
      <c r="CZ1064">
        <v>0</v>
      </c>
      <c r="DA1064">
        <v>1</v>
      </c>
      <c r="DB1064">
        <v>0</v>
      </c>
      <c r="DC1064">
        <v>0</v>
      </c>
      <c r="DD1064">
        <v>1</v>
      </c>
      <c r="DE1064">
        <v>0</v>
      </c>
      <c r="DF1064">
        <v>0</v>
      </c>
      <c r="DG1064">
        <v>0</v>
      </c>
      <c r="DH1064">
        <v>0</v>
      </c>
      <c r="DI1064">
        <v>0</v>
      </c>
    </row>
    <row r="1065" spans="1:113" x14ac:dyDescent="0.3">
      <c r="A1065" t="str">
        <f>"09/28/2021 13:59:22.933"</f>
        <v>09/28/2021 13:59:22.933</v>
      </c>
      <c r="C1065" t="str">
        <f t="shared" si="53"/>
        <v>FFDFD3C0</v>
      </c>
      <c r="D1065" t="s">
        <v>113</v>
      </c>
      <c r="E1065">
        <v>7</v>
      </c>
      <c r="H1065">
        <v>170</v>
      </c>
      <c r="I1065" t="s">
        <v>114</v>
      </c>
      <c r="J1065" t="s">
        <v>115</v>
      </c>
      <c r="K1065">
        <v>0</v>
      </c>
      <c r="L1065">
        <v>3</v>
      </c>
      <c r="M1065">
        <v>0</v>
      </c>
      <c r="N1065">
        <v>2</v>
      </c>
      <c r="O1065">
        <v>1</v>
      </c>
      <c r="P1065">
        <v>0</v>
      </c>
      <c r="Q1065">
        <v>0</v>
      </c>
      <c r="S1065" t="str">
        <f>"13:59:22.633"</f>
        <v>13:59:22.633</v>
      </c>
      <c r="T1065" t="str">
        <f>"13:59:22.233"</f>
        <v>13:59:22.233</v>
      </c>
      <c r="U1065" t="str">
        <f t="shared" si="52"/>
        <v>A92BC1</v>
      </c>
      <c r="V1065">
        <v>0</v>
      </c>
      <c r="W1065">
        <v>0</v>
      </c>
      <c r="X1065">
        <v>2</v>
      </c>
      <c r="Z1065">
        <v>0</v>
      </c>
      <c r="AA1065">
        <v>9</v>
      </c>
      <c r="AB1065">
        <v>3</v>
      </c>
      <c r="AC1065">
        <v>0</v>
      </c>
      <c r="AD1065">
        <v>10</v>
      </c>
      <c r="AE1065">
        <v>0</v>
      </c>
      <c r="AF1065">
        <v>3</v>
      </c>
      <c r="AG1065">
        <v>2</v>
      </c>
      <c r="AH1065">
        <v>0</v>
      </c>
      <c r="AI1065" t="s">
        <v>1166</v>
      </c>
      <c r="AJ1065">
        <v>45.897852999999998</v>
      </c>
      <c r="AK1065" t="s">
        <v>1167</v>
      </c>
      <c r="AL1065">
        <v>-89.084980000000002</v>
      </c>
      <c r="AM1065">
        <v>100</v>
      </c>
      <c r="AN1065">
        <v>15600</v>
      </c>
      <c r="AO1065" t="s">
        <v>118</v>
      </c>
      <c r="AP1065">
        <v>138</v>
      </c>
      <c r="AQ1065">
        <v>112</v>
      </c>
      <c r="AR1065">
        <v>-64</v>
      </c>
      <c r="AZ1065">
        <v>1200</v>
      </c>
      <c r="BA1065">
        <v>1</v>
      </c>
      <c r="BB1065" t="str">
        <f t="shared" si="54"/>
        <v xml:space="preserve">N690LS  </v>
      </c>
      <c r="BC1065">
        <v>1</v>
      </c>
      <c r="BE1065">
        <v>0</v>
      </c>
      <c r="BF1065">
        <v>0</v>
      </c>
      <c r="BG1065">
        <v>0</v>
      </c>
      <c r="BH1065">
        <v>16100</v>
      </c>
      <c r="BI1065">
        <v>1</v>
      </c>
      <c r="BJ1065">
        <v>1</v>
      </c>
      <c r="BK1065">
        <v>1</v>
      </c>
      <c r="BL1065">
        <v>0</v>
      </c>
      <c r="BO1065">
        <v>0</v>
      </c>
      <c r="BP1065">
        <v>0</v>
      </c>
      <c r="BW1065" t="str">
        <f>"13:59:22.636"</f>
        <v>13:59:22.636</v>
      </c>
      <c r="CJ1065">
        <v>0</v>
      </c>
      <c r="CK1065">
        <v>2</v>
      </c>
      <c r="CL1065">
        <v>0</v>
      </c>
      <c r="CM1065">
        <v>2</v>
      </c>
      <c r="CN1065">
        <v>0</v>
      </c>
      <c r="CO1065">
        <v>7</v>
      </c>
      <c r="CP1065" t="s">
        <v>119</v>
      </c>
      <c r="CQ1065">
        <v>209</v>
      </c>
      <c r="CR1065">
        <v>3</v>
      </c>
      <c r="CW1065">
        <v>7276786</v>
      </c>
      <c r="CY1065">
        <v>1</v>
      </c>
      <c r="CZ1065">
        <v>0</v>
      </c>
      <c r="DA1065">
        <v>0</v>
      </c>
      <c r="DB1065">
        <v>0</v>
      </c>
      <c r="DC1065">
        <v>0</v>
      </c>
      <c r="DD1065">
        <v>1</v>
      </c>
      <c r="DE1065">
        <v>0</v>
      </c>
      <c r="DF1065">
        <v>0</v>
      </c>
      <c r="DG1065">
        <v>0</v>
      </c>
      <c r="DH1065">
        <v>0</v>
      </c>
      <c r="DI1065">
        <v>0</v>
      </c>
    </row>
    <row r="1066" spans="1:113" x14ac:dyDescent="0.3">
      <c r="A1066" t="str">
        <f>"09/28/2021 13:59:22.933"</f>
        <v>09/28/2021 13:59:22.933</v>
      </c>
      <c r="C1066" t="str">
        <f t="shared" si="53"/>
        <v>FFDFD3C0</v>
      </c>
      <c r="D1066" t="s">
        <v>120</v>
      </c>
      <c r="E1066">
        <v>12</v>
      </c>
      <c r="F1066">
        <v>1012</v>
      </c>
      <c r="G1066" t="s">
        <v>114</v>
      </c>
      <c r="J1066" t="s">
        <v>121</v>
      </c>
      <c r="K1066">
        <v>0</v>
      </c>
      <c r="L1066">
        <v>3</v>
      </c>
      <c r="M1066">
        <v>0</v>
      </c>
      <c r="N1066">
        <v>2</v>
      </c>
      <c r="O1066">
        <v>1</v>
      </c>
      <c r="P1066">
        <v>0</v>
      </c>
      <c r="Q1066">
        <v>0</v>
      </c>
      <c r="S1066" t="str">
        <f>"13:59:22.633"</f>
        <v>13:59:22.633</v>
      </c>
      <c r="T1066" t="str">
        <f>"13:59:22.233"</f>
        <v>13:59:22.233</v>
      </c>
      <c r="U1066" t="str">
        <f t="shared" si="52"/>
        <v>A92BC1</v>
      </c>
      <c r="V1066">
        <v>0</v>
      </c>
      <c r="W1066">
        <v>0</v>
      </c>
      <c r="X1066">
        <v>2</v>
      </c>
      <c r="Z1066">
        <v>0</v>
      </c>
      <c r="AA1066">
        <v>9</v>
      </c>
      <c r="AB1066">
        <v>3</v>
      </c>
      <c r="AC1066">
        <v>0</v>
      </c>
      <c r="AD1066">
        <v>10</v>
      </c>
      <c r="AE1066">
        <v>0</v>
      </c>
      <c r="AF1066">
        <v>3</v>
      </c>
      <c r="AG1066">
        <v>2</v>
      </c>
      <c r="AH1066">
        <v>0</v>
      </c>
      <c r="AI1066" t="s">
        <v>1166</v>
      </c>
      <c r="AJ1066">
        <v>45.897852999999998</v>
      </c>
      <c r="AK1066" t="s">
        <v>1167</v>
      </c>
      <c r="AL1066">
        <v>-89.084980000000002</v>
      </c>
      <c r="AM1066">
        <v>100</v>
      </c>
      <c r="AN1066">
        <v>15600</v>
      </c>
      <c r="AO1066" t="s">
        <v>118</v>
      </c>
      <c r="AP1066">
        <v>138</v>
      </c>
      <c r="AQ1066">
        <v>112</v>
      </c>
      <c r="AR1066">
        <v>-64</v>
      </c>
      <c r="AZ1066">
        <v>1200</v>
      </c>
      <c r="BA1066">
        <v>1</v>
      </c>
      <c r="BB1066" t="str">
        <f t="shared" si="54"/>
        <v xml:space="preserve">N690LS  </v>
      </c>
      <c r="BC1066">
        <v>1</v>
      </c>
      <c r="BE1066">
        <v>0</v>
      </c>
      <c r="BF1066">
        <v>0</v>
      </c>
      <c r="BG1066">
        <v>0</v>
      </c>
      <c r="BH1066">
        <v>16100</v>
      </c>
      <c r="BI1066">
        <v>1</v>
      </c>
      <c r="BJ1066">
        <v>1</v>
      </c>
      <c r="BK1066">
        <v>1</v>
      </c>
      <c r="BL1066">
        <v>0</v>
      </c>
      <c r="BO1066">
        <v>0</v>
      </c>
      <c r="BP1066">
        <v>0</v>
      </c>
      <c r="BW1066" t="str">
        <f>"13:59:22.636"</f>
        <v>13:59:22.636</v>
      </c>
      <c r="CJ1066">
        <v>0</v>
      </c>
      <c r="CK1066">
        <v>2</v>
      </c>
      <c r="CL1066">
        <v>0</v>
      </c>
      <c r="CM1066">
        <v>2</v>
      </c>
      <c r="CN1066">
        <v>0</v>
      </c>
      <c r="CO1066">
        <v>7</v>
      </c>
      <c r="CP1066" t="s">
        <v>119</v>
      </c>
      <c r="CQ1066">
        <v>209</v>
      </c>
      <c r="CR1066">
        <v>3</v>
      </c>
      <c r="CW1066">
        <v>7276786</v>
      </c>
      <c r="CY1066">
        <v>1</v>
      </c>
      <c r="CZ1066">
        <v>0</v>
      </c>
      <c r="DA1066">
        <v>1</v>
      </c>
      <c r="DB1066">
        <v>0</v>
      </c>
      <c r="DC1066">
        <v>0</v>
      </c>
      <c r="DD1066">
        <v>1</v>
      </c>
      <c r="DE1066">
        <v>0</v>
      </c>
      <c r="DF1066">
        <v>0</v>
      </c>
      <c r="DG1066">
        <v>0</v>
      </c>
      <c r="DH1066">
        <v>0</v>
      </c>
      <c r="DI1066">
        <v>0</v>
      </c>
    </row>
    <row r="1067" spans="1:113" x14ac:dyDescent="0.3">
      <c r="A1067" t="str">
        <f>"09/28/2021 13:59:23.808"</f>
        <v>09/28/2021 13:59:23.808</v>
      </c>
      <c r="C1067" t="str">
        <f t="shared" si="53"/>
        <v>FFDFD3C0</v>
      </c>
      <c r="D1067" t="s">
        <v>113</v>
      </c>
      <c r="E1067">
        <v>7</v>
      </c>
      <c r="H1067">
        <v>170</v>
      </c>
      <c r="I1067" t="s">
        <v>114</v>
      </c>
      <c r="J1067" t="s">
        <v>115</v>
      </c>
      <c r="K1067">
        <v>0</v>
      </c>
      <c r="L1067">
        <v>3</v>
      </c>
      <c r="M1067">
        <v>0</v>
      </c>
      <c r="N1067">
        <v>2</v>
      </c>
      <c r="O1067">
        <v>1</v>
      </c>
      <c r="P1067">
        <v>0</v>
      </c>
      <c r="Q1067">
        <v>0</v>
      </c>
      <c r="S1067" t="str">
        <f>"13:59:23.563"</f>
        <v>13:59:23.563</v>
      </c>
      <c r="T1067" t="str">
        <f>"13:59:23.163"</f>
        <v>13:59:23.163</v>
      </c>
      <c r="U1067" t="str">
        <f t="shared" si="52"/>
        <v>A92BC1</v>
      </c>
      <c r="V1067">
        <v>0</v>
      </c>
      <c r="W1067">
        <v>0</v>
      </c>
      <c r="X1067">
        <v>2</v>
      </c>
      <c r="Z1067">
        <v>0</v>
      </c>
      <c r="AA1067">
        <v>9</v>
      </c>
      <c r="AB1067">
        <v>3</v>
      </c>
      <c r="AC1067">
        <v>0</v>
      </c>
      <c r="AD1067">
        <v>10</v>
      </c>
      <c r="AE1067">
        <v>0</v>
      </c>
      <c r="AF1067">
        <v>3</v>
      </c>
      <c r="AG1067">
        <v>2</v>
      </c>
      <c r="AH1067">
        <v>0</v>
      </c>
      <c r="AI1067" t="s">
        <v>1168</v>
      </c>
      <c r="AJ1067">
        <v>45.898325</v>
      </c>
      <c r="AK1067" t="s">
        <v>1169</v>
      </c>
      <c r="AL1067">
        <v>-89.084187</v>
      </c>
      <c r="AM1067">
        <v>100</v>
      </c>
      <c r="AN1067">
        <v>15600</v>
      </c>
      <c r="AO1067" t="s">
        <v>118</v>
      </c>
      <c r="AP1067">
        <v>137</v>
      </c>
      <c r="AQ1067">
        <v>111</v>
      </c>
      <c r="AR1067">
        <v>-64</v>
      </c>
      <c r="AZ1067">
        <v>1200</v>
      </c>
      <c r="BA1067">
        <v>1</v>
      </c>
      <c r="BB1067" t="str">
        <f t="shared" si="54"/>
        <v xml:space="preserve">N690LS  </v>
      </c>
      <c r="BC1067">
        <v>1</v>
      </c>
      <c r="BE1067">
        <v>0</v>
      </c>
      <c r="BF1067">
        <v>0</v>
      </c>
      <c r="BG1067">
        <v>0</v>
      </c>
      <c r="BH1067">
        <v>16100</v>
      </c>
      <c r="BI1067">
        <v>1</v>
      </c>
      <c r="BJ1067">
        <v>1</v>
      </c>
      <c r="BK1067">
        <v>1</v>
      </c>
      <c r="BL1067">
        <v>0</v>
      </c>
      <c r="BO1067">
        <v>0</v>
      </c>
      <c r="BP1067">
        <v>0</v>
      </c>
      <c r="BW1067" t="str">
        <f>"13:59:23.570"</f>
        <v>13:59:23.570</v>
      </c>
      <c r="CJ1067">
        <v>0</v>
      </c>
      <c r="CK1067">
        <v>2</v>
      </c>
      <c r="CL1067">
        <v>0</v>
      </c>
      <c r="CM1067">
        <v>2</v>
      </c>
      <c r="CN1067">
        <v>0</v>
      </c>
      <c r="CO1067">
        <v>7</v>
      </c>
      <c r="CP1067" t="s">
        <v>119</v>
      </c>
      <c r="CQ1067">
        <v>197</v>
      </c>
      <c r="CR1067">
        <v>0</v>
      </c>
      <c r="CW1067">
        <v>16094415</v>
      </c>
      <c r="CY1067">
        <v>1</v>
      </c>
      <c r="CZ1067">
        <v>0</v>
      </c>
      <c r="DA1067">
        <v>0</v>
      </c>
      <c r="DB1067">
        <v>0</v>
      </c>
      <c r="DC1067">
        <v>0</v>
      </c>
      <c r="DD1067">
        <v>1</v>
      </c>
      <c r="DE1067">
        <v>0</v>
      </c>
      <c r="DF1067">
        <v>0</v>
      </c>
      <c r="DG1067">
        <v>0</v>
      </c>
      <c r="DH1067">
        <v>0</v>
      </c>
      <c r="DI1067">
        <v>0</v>
      </c>
    </row>
    <row r="1068" spans="1:113" x14ac:dyDescent="0.3">
      <c r="A1068" t="str">
        <f>"09/28/2021 13:59:23.808"</f>
        <v>09/28/2021 13:59:23.808</v>
      </c>
      <c r="C1068" t="str">
        <f t="shared" si="53"/>
        <v>FFDFD3C0</v>
      </c>
      <c r="D1068" t="s">
        <v>120</v>
      </c>
      <c r="E1068">
        <v>12</v>
      </c>
      <c r="F1068">
        <v>1012</v>
      </c>
      <c r="G1068" t="s">
        <v>114</v>
      </c>
      <c r="J1068" t="s">
        <v>121</v>
      </c>
      <c r="K1068">
        <v>0</v>
      </c>
      <c r="L1068">
        <v>3</v>
      </c>
      <c r="M1068">
        <v>0</v>
      </c>
      <c r="N1068">
        <v>2</v>
      </c>
      <c r="O1068">
        <v>1</v>
      </c>
      <c r="P1068">
        <v>0</v>
      </c>
      <c r="Q1068">
        <v>0</v>
      </c>
      <c r="S1068" t="str">
        <f>"13:59:23.563"</f>
        <v>13:59:23.563</v>
      </c>
      <c r="T1068" t="str">
        <f>"13:59:23.163"</f>
        <v>13:59:23.163</v>
      </c>
      <c r="U1068" t="str">
        <f t="shared" si="52"/>
        <v>A92BC1</v>
      </c>
      <c r="V1068">
        <v>0</v>
      </c>
      <c r="W1068">
        <v>0</v>
      </c>
      <c r="X1068">
        <v>2</v>
      </c>
      <c r="Z1068">
        <v>0</v>
      </c>
      <c r="AA1068">
        <v>9</v>
      </c>
      <c r="AB1068">
        <v>3</v>
      </c>
      <c r="AC1068">
        <v>0</v>
      </c>
      <c r="AD1068">
        <v>10</v>
      </c>
      <c r="AE1068">
        <v>0</v>
      </c>
      <c r="AF1068">
        <v>3</v>
      </c>
      <c r="AG1068">
        <v>2</v>
      </c>
      <c r="AH1068">
        <v>0</v>
      </c>
      <c r="AI1068" t="s">
        <v>1168</v>
      </c>
      <c r="AJ1068">
        <v>45.898325</v>
      </c>
      <c r="AK1068" t="s">
        <v>1169</v>
      </c>
      <c r="AL1068">
        <v>-89.084187</v>
      </c>
      <c r="AM1068">
        <v>100</v>
      </c>
      <c r="AN1068">
        <v>15600</v>
      </c>
      <c r="AO1068" t="s">
        <v>118</v>
      </c>
      <c r="AP1068">
        <v>137</v>
      </c>
      <c r="AQ1068">
        <v>111</v>
      </c>
      <c r="AR1068">
        <v>-64</v>
      </c>
      <c r="AZ1068">
        <v>1200</v>
      </c>
      <c r="BA1068">
        <v>1</v>
      </c>
      <c r="BB1068" t="str">
        <f t="shared" si="54"/>
        <v xml:space="preserve">N690LS  </v>
      </c>
      <c r="BC1068">
        <v>1</v>
      </c>
      <c r="BE1068">
        <v>0</v>
      </c>
      <c r="BF1068">
        <v>0</v>
      </c>
      <c r="BG1068">
        <v>0</v>
      </c>
      <c r="BH1068">
        <v>16100</v>
      </c>
      <c r="BI1068">
        <v>1</v>
      </c>
      <c r="BJ1068">
        <v>1</v>
      </c>
      <c r="BK1068">
        <v>1</v>
      </c>
      <c r="BL1068">
        <v>0</v>
      </c>
      <c r="BO1068">
        <v>0</v>
      </c>
      <c r="BP1068">
        <v>0</v>
      </c>
      <c r="BW1068" t="str">
        <f>"13:59:23.570"</f>
        <v>13:59:23.570</v>
      </c>
      <c r="CJ1068">
        <v>0</v>
      </c>
      <c r="CK1068">
        <v>2</v>
      </c>
      <c r="CL1068">
        <v>0</v>
      </c>
      <c r="CM1068">
        <v>2</v>
      </c>
      <c r="CN1068">
        <v>0</v>
      </c>
      <c r="CO1068">
        <v>7</v>
      </c>
      <c r="CP1068" t="s">
        <v>119</v>
      </c>
      <c r="CQ1068">
        <v>197</v>
      </c>
      <c r="CR1068">
        <v>0</v>
      </c>
      <c r="CW1068">
        <v>16094415</v>
      </c>
      <c r="CY1068">
        <v>1</v>
      </c>
      <c r="CZ1068">
        <v>0</v>
      </c>
      <c r="DA1068">
        <v>1</v>
      </c>
      <c r="DB1068">
        <v>0</v>
      </c>
      <c r="DC1068">
        <v>0</v>
      </c>
      <c r="DD1068">
        <v>1</v>
      </c>
      <c r="DE1068">
        <v>0</v>
      </c>
      <c r="DF1068">
        <v>0</v>
      </c>
      <c r="DG1068">
        <v>0</v>
      </c>
      <c r="DH1068">
        <v>0</v>
      </c>
      <c r="DI1068">
        <v>0</v>
      </c>
    </row>
    <row r="1069" spans="1:113" x14ac:dyDescent="0.3">
      <c r="A1069" t="str">
        <f>"09/28/2021 13:59:24.794"</f>
        <v>09/28/2021 13:59:24.794</v>
      </c>
      <c r="C1069" t="str">
        <f t="shared" si="53"/>
        <v>FFDFD3C0</v>
      </c>
      <c r="D1069" t="s">
        <v>113</v>
      </c>
      <c r="E1069">
        <v>7</v>
      </c>
      <c r="H1069">
        <v>170</v>
      </c>
      <c r="I1069" t="s">
        <v>114</v>
      </c>
      <c r="J1069" t="s">
        <v>115</v>
      </c>
      <c r="K1069">
        <v>0</v>
      </c>
      <c r="L1069">
        <v>3</v>
      </c>
      <c r="M1069">
        <v>0</v>
      </c>
      <c r="N1069">
        <v>2</v>
      </c>
      <c r="O1069">
        <v>1</v>
      </c>
      <c r="P1069">
        <v>0</v>
      </c>
      <c r="Q1069">
        <v>0</v>
      </c>
      <c r="S1069" t="str">
        <f>"13:59:24.594"</f>
        <v>13:59:24.594</v>
      </c>
      <c r="T1069" t="str">
        <f>"13:59:24.094"</f>
        <v>13:59:24.094</v>
      </c>
      <c r="U1069" t="str">
        <f t="shared" si="52"/>
        <v>A92BC1</v>
      </c>
      <c r="V1069">
        <v>0</v>
      </c>
      <c r="W1069">
        <v>0</v>
      </c>
      <c r="X1069">
        <v>2</v>
      </c>
      <c r="Z1069">
        <v>0</v>
      </c>
      <c r="AA1069">
        <v>9</v>
      </c>
      <c r="AB1069">
        <v>3</v>
      </c>
      <c r="AC1069">
        <v>0</v>
      </c>
      <c r="AD1069">
        <v>10</v>
      </c>
      <c r="AE1069">
        <v>0</v>
      </c>
      <c r="AF1069">
        <v>3</v>
      </c>
      <c r="AG1069">
        <v>2</v>
      </c>
      <c r="AH1069">
        <v>0</v>
      </c>
      <c r="AI1069" t="s">
        <v>1170</v>
      </c>
      <c r="AJ1069">
        <v>45.898819000000003</v>
      </c>
      <c r="AK1069" t="s">
        <v>1171</v>
      </c>
      <c r="AL1069">
        <v>-89.083241999999998</v>
      </c>
      <c r="AM1069">
        <v>100</v>
      </c>
      <c r="AN1069">
        <v>15600</v>
      </c>
      <c r="AO1069" t="s">
        <v>118</v>
      </c>
      <c r="AP1069">
        <v>136</v>
      </c>
      <c r="AQ1069">
        <v>110</v>
      </c>
      <c r="AR1069">
        <v>-64</v>
      </c>
      <c r="AZ1069">
        <v>1200</v>
      </c>
      <c r="BA1069">
        <v>1</v>
      </c>
      <c r="BB1069" t="str">
        <f t="shared" si="54"/>
        <v xml:space="preserve">N690LS  </v>
      </c>
      <c r="BC1069">
        <v>1</v>
      </c>
      <c r="BE1069">
        <v>0</v>
      </c>
      <c r="BF1069">
        <v>0</v>
      </c>
      <c r="BG1069">
        <v>0</v>
      </c>
      <c r="BH1069">
        <v>16100</v>
      </c>
      <c r="BI1069">
        <v>1</v>
      </c>
      <c r="BJ1069">
        <v>1</v>
      </c>
      <c r="BK1069">
        <v>1</v>
      </c>
      <c r="BL1069">
        <v>0</v>
      </c>
      <c r="BO1069">
        <v>0</v>
      </c>
      <c r="BP1069">
        <v>0</v>
      </c>
      <c r="BW1069" t="str">
        <f>"13:59:24.600"</f>
        <v>13:59:24.600</v>
      </c>
      <c r="CJ1069">
        <v>0</v>
      </c>
      <c r="CK1069">
        <v>2</v>
      </c>
      <c r="CL1069">
        <v>0</v>
      </c>
      <c r="CM1069">
        <v>2</v>
      </c>
      <c r="CN1069">
        <v>0</v>
      </c>
      <c r="CO1069">
        <v>7</v>
      </c>
      <c r="CP1069" t="s">
        <v>119</v>
      </c>
      <c r="CQ1069">
        <v>209</v>
      </c>
      <c r="CR1069">
        <v>3</v>
      </c>
      <c r="CW1069">
        <v>7277399</v>
      </c>
      <c r="CY1069">
        <v>1</v>
      </c>
      <c r="CZ1069">
        <v>0</v>
      </c>
      <c r="DA1069">
        <v>0</v>
      </c>
      <c r="DB1069">
        <v>0</v>
      </c>
      <c r="DC1069">
        <v>0</v>
      </c>
      <c r="DD1069">
        <v>1</v>
      </c>
      <c r="DE1069">
        <v>0</v>
      </c>
      <c r="DF1069">
        <v>0</v>
      </c>
      <c r="DG1069">
        <v>0</v>
      </c>
      <c r="DH1069">
        <v>0</v>
      </c>
      <c r="DI1069">
        <v>0</v>
      </c>
    </row>
    <row r="1070" spans="1:113" x14ac:dyDescent="0.3">
      <c r="A1070" t="str">
        <f>"09/28/2021 13:59:24.794"</f>
        <v>09/28/2021 13:59:24.794</v>
      </c>
      <c r="C1070" t="str">
        <f t="shared" si="53"/>
        <v>FFDFD3C0</v>
      </c>
      <c r="D1070" t="s">
        <v>120</v>
      </c>
      <c r="E1070">
        <v>12</v>
      </c>
      <c r="F1070">
        <v>1012</v>
      </c>
      <c r="G1070" t="s">
        <v>114</v>
      </c>
      <c r="J1070" t="s">
        <v>121</v>
      </c>
      <c r="K1070">
        <v>0</v>
      </c>
      <c r="L1070">
        <v>3</v>
      </c>
      <c r="M1070">
        <v>0</v>
      </c>
      <c r="N1070">
        <v>2</v>
      </c>
      <c r="O1070">
        <v>1</v>
      </c>
      <c r="P1070">
        <v>0</v>
      </c>
      <c r="Q1070">
        <v>0</v>
      </c>
      <c r="S1070" t="str">
        <f>"13:59:24.594"</f>
        <v>13:59:24.594</v>
      </c>
      <c r="T1070" t="str">
        <f>"13:59:24.094"</f>
        <v>13:59:24.094</v>
      </c>
      <c r="U1070" t="str">
        <f t="shared" si="52"/>
        <v>A92BC1</v>
      </c>
      <c r="V1070">
        <v>0</v>
      </c>
      <c r="W1070">
        <v>0</v>
      </c>
      <c r="X1070">
        <v>2</v>
      </c>
      <c r="Z1070">
        <v>0</v>
      </c>
      <c r="AA1070">
        <v>9</v>
      </c>
      <c r="AB1070">
        <v>3</v>
      </c>
      <c r="AC1070">
        <v>0</v>
      </c>
      <c r="AD1070">
        <v>10</v>
      </c>
      <c r="AE1070">
        <v>0</v>
      </c>
      <c r="AF1070">
        <v>3</v>
      </c>
      <c r="AG1070">
        <v>2</v>
      </c>
      <c r="AH1070">
        <v>0</v>
      </c>
      <c r="AI1070" t="s">
        <v>1170</v>
      </c>
      <c r="AJ1070">
        <v>45.898819000000003</v>
      </c>
      <c r="AK1070" t="s">
        <v>1171</v>
      </c>
      <c r="AL1070">
        <v>-89.083241999999998</v>
      </c>
      <c r="AM1070">
        <v>100</v>
      </c>
      <c r="AN1070">
        <v>15600</v>
      </c>
      <c r="AO1070" t="s">
        <v>118</v>
      </c>
      <c r="AP1070">
        <v>136</v>
      </c>
      <c r="AQ1070">
        <v>110</v>
      </c>
      <c r="AR1070">
        <v>-64</v>
      </c>
      <c r="AZ1070">
        <v>1200</v>
      </c>
      <c r="BA1070">
        <v>1</v>
      </c>
      <c r="BB1070" t="str">
        <f t="shared" si="54"/>
        <v xml:space="preserve">N690LS  </v>
      </c>
      <c r="BC1070">
        <v>1</v>
      </c>
      <c r="BE1070">
        <v>0</v>
      </c>
      <c r="BF1070">
        <v>0</v>
      </c>
      <c r="BG1070">
        <v>0</v>
      </c>
      <c r="BH1070">
        <v>16100</v>
      </c>
      <c r="BI1070">
        <v>1</v>
      </c>
      <c r="BJ1070">
        <v>1</v>
      </c>
      <c r="BK1070">
        <v>1</v>
      </c>
      <c r="BL1070">
        <v>0</v>
      </c>
      <c r="BO1070">
        <v>0</v>
      </c>
      <c r="BP1070">
        <v>0</v>
      </c>
      <c r="BW1070" t="str">
        <f>"13:59:24.600"</f>
        <v>13:59:24.600</v>
      </c>
      <c r="CJ1070">
        <v>0</v>
      </c>
      <c r="CK1070">
        <v>2</v>
      </c>
      <c r="CL1070">
        <v>0</v>
      </c>
      <c r="CM1070">
        <v>2</v>
      </c>
      <c r="CN1070">
        <v>0</v>
      </c>
      <c r="CO1070">
        <v>7</v>
      </c>
      <c r="CP1070" t="s">
        <v>119</v>
      </c>
      <c r="CQ1070">
        <v>209</v>
      </c>
      <c r="CR1070">
        <v>3</v>
      </c>
      <c r="CW1070">
        <v>7277399</v>
      </c>
      <c r="CY1070">
        <v>1</v>
      </c>
      <c r="CZ1070">
        <v>0</v>
      </c>
      <c r="DA1070">
        <v>1</v>
      </c>
      <c r="DB1070">
        <v>0</v>
      </c>
      <c r="DC1070">
        <v>0</v>
      </c>
      <c r="DD1070">
        <v>1</v>
      </c>
      <c r="DE1070">
        <v>0</v>
      </c>
      <c r="DF1070">
        <v>0</v>
      </c>
      <c r="DG1070">
        <v>0</v>
      </c>
      <c r="DH1070">
        <v>0</v>
      </c>
      <c r="DI1070">
        <v>0</v>
      </c>
    </row>
    <row r="1071" spans="1:113" x14ac:dyDescent="0.3">
      <c r="A1071" t="str">
        <f>"09/28/2021 13:59:25.841"</f>
        <v>09/28/2021 13:59:25.841</v>
      </c>
      <c r="C1071" t="str">
        <f t="shared" si="53"/>
        <v>FFDFD3C0</v>
      </c>
      <c r="D1071" t="s">
        <v>113</v>
      </c>
      <c r="E1071">
        <v>7</v>
      </c>
      <c r="H1071">
        <v>170</v>
      </c>
      <c r="I1071" t="s">
        <v>114</v>
      </c>
      <c r="J1071" t="s">
        <v>115</v>
      </c>
      <c r="K1071">
        <v>0</v>
      </c>
      <c r="L1071">
        <v>3</v>
      </c>
      <c r="M1071">
        <v>0</v>
      </c>
      <c r="N1071">
        <v>2</v>
      </c>
      <c r="O1071">
        <v>1</v>
      </c>
      <c r="P1071">
        <v>0</v>
      </c>
      <c r="Q1071">
        <v>0</v>
      </c>
      <c r="S1071" t="str">
        <f>"13:59:25.648"</f>
        <v>13:59:25.648</v>
      </c>
      <c r="T1071" t="str">
        <f>"13:59:25.148"</f>
        <v>13:59:25.148</v>
      </c>
      <c r="U1071" t="str">
        <f t="shared" si="52"/>
        <v>A92BC1</v>
      </c>
      <c r="V1071">
        <v>0</v>
      </c>
      <c r="W1071">
        <v>0</v>
      </c>
      <c r="X1071">
        <v>2</v>
      </c>
      <c r="Z1071">
        <v>0</v>
      </c>
      <c r="AA1071">
        <v>9</v>
      </c>
      <c r="AB1071">
        <v>3</v>
      </c>
      <c r="AC1071">
        <v>0</v>
      </c>
      <c r="AD1071">
        <v>10</v>
      </c>
      <c r="AE1071">
        <v>0</v>
      </c>
      <c r="AF1071">
        <v>3</v>
      </c>
      <c r="AG1071">
        <v>2</v>
      </c>
      <c r="AH1071">
        <v>0</v>
      </c>
      <c r="AI1071" t="s">
        <v>1172</v>
      </c>
      <c r="AJ1071">
        <v>45.899397999999998</v>
      </c>
      <c r="AK1071" t="s">
        <v>1173</v>
      </c>
      <c r="AL1071">
        <v>-89.082297999999994</v>
      </c>
      <c r="AM1071">
        <v>100</v>
      </c>
      <c r="AN1071">
        <v>15600</v>
      </c>
      <c r="AO1071" t="s">
        <v>118</v>
      </c>
      <c r="AP1071">
        <v>134</v>
      </c>
      <c r="AQ1071">
        <v>109</v>
      </c>
      <c r="AR1071">
        <v>-64</v>
      </c>
      <c r="AZ1071">
        <v>1200</v>
      </c>
      <c r="BA1071">
        <v>1</v>
      </c>
      <c r="BB1071" t="str">
        <f t="shared" si="54"/>
        <v xml:space="preserve">N690LS  </v>
      </c>
      <c r="BC1071">
        <v>1</v>
      </c>
      <c r="BE1071">
        <v>0</v>
      </c>
      <c r="BF1071">
        <v>0</v>
      </c>
      <c r="BG1071">
        <v>0</v>
      </c>
      <c r="BH1071">
        <v>16100</v>
      </c>
      <c r="BI1071">
        <v>1</v>
      </c>
      <c r="BJ1071">
        <v>1</v>
      </c>
      <c r="BK1071">
        <v>1</v>
      </c>
      <c r="BL1071">
        <v>0</v>
      </c>
      <c r="BO1071">
        <v>0</v>
      </c>
      <c r="BP1071">
        <v>0</v>
      </c>
      <c r="BW1071" t="str">
        <f>"13:59:25.650"</f>
        <v>13:59:25.650</v>
      </c>
      <c r="CJ1071">
        <v>0</v>
      </c>
      <c r="CK1071">
        <v>2</v>
      </c>
      <c r="CL1071">
        <v>0</v>
      </c>
      <c r="CM1071">
        <v>2</v>
      </c>
      <c r="CN1071">
        <v>0</v>
      </c>
      <c r="CO1071">
        <v>7</v>
      </c>
      <c r="CP1071" t="s">
        <v>119</v>
      </c>
      <c r="CQ1071">
        <v>197</v>
      </c>
      <c r="CR1071">
        <v>1</v>
      </c>
      <c r="CW1071">
        <v>7564219</v>
      </c>
      <c r="CY1071">
        <v>1</v>
      </c>
      <c r="CZ1071">
        <v>0</v>
      </c>
      <c r="DA1071">
        <v>0</v>
      </c>
      <c r="DB1071">
        <v>0</v>
      </c>
      <c r="DC1071">
        <v>0</v>
      </c>
      <c r="DD1071">
        <v>1</v>
      </c>
      <c r="DE1071">
        <v>0</v>
      </c>
      <c r="DF1071">
        <v>0</v>
      </c>
      <c r="DG1071">
        <v>0</v>
      </c>
      <c r="DH1071">
        <v>0</v>
      </c>
      <c r="DI1071">
        <v>0</v>
      </c>
    </row>
    <row r="1072" spans="1:113" x14ac:dyDescent="0.3">
      <c r="A1072" t="str">
        <f>"09/28/2021 13:59:25.856"</f>
        <v>09/28/2021 13:59:25.856</v>
      </c>
      <c r="C1072" t="str">
        <f t="shared" si="53"/>
        <v>FFDFD3C0</v>
      </c>
      <c r="D1072" t="s">
        <v>120</v>
      </c>
      <c r="E1072">
        <v>12</v>
      </c>
      <c r="F1072">
        <v>1012</v>
      </c>
      <c r="G1072" t="s">
        <v>114</v>
      </c>
      <c r="J1072" t="s">
        <v>121</v>
      </c>
      <c r="K1072">
        <v>0</v>
      </c>
      <c r="L1072">
        <v>3</v>
      </c>
      <c r="M1072">
        <v>0</v>
      </c>
      <c r="N1072">
        <v>2</v>
      </c>
      <c r="O1072">
        <v>1</v>
      </c>
      <c r="P1072">
        <v>0</v>
      </c>
      <c r="Q1072">
        <v>0</v>
      </c>
      <c r="S1072" t="str">
        <f>"13:59:25.648"</f>
        <v>13:59:25.648</v>
      </c>
      <c r="T1072" t="str">
        <f>"13:59:25.148"</f>
        <v>13:59:25.148</v>
      </c>
      <c r="U1072" t="str">
        <f t="shared" si="52"/>
        <v>A92BC1</v>
      </c>
      <c r="V1072">
        <v>0</v>
      </c>
      <c r="W1072">
        <v>0</v>
      </c>
      <c r="X1072">
        <v>2</v>
      </c>
      <c r="Z1072">
        <v>0</v>
      </c>
      <c r="AA1072">
        <v>9</v>
      </c>
      <c r="AB1072">
        <v>3</v>
      </c>
      <c r="AC1072">
        <v>0</v>
      </c>
      <c r="AD1072">
        <v>10</v>
      </c>
      <c r="AE1072">
        <v>0</v>
      </c>
      <c r="AF1072">
        <v>3</v>
      </c>
      <c r="AG1072">
        <v>2</v>
      </c>
      <c r="AH1072">
        <v>0</v>
      </c>
      <c r="AI1072" t="s">
        <v>1172</v>
      </c>
      <c r="AJ1072">
        <v>45.899397999999998</v>
      </c>
      <c r="AK1072" t="s">
        <v>1173</v>
      </c>
      <c r="AL1072">
        <v>-89.082297999999994</v>
      </c>
      <c r="AM1072">
        <v>100</v>
      </c>
      <c r="AN1072">
        <v>15600</v>
      </c>
      <c r="AO1072" t="s">
        <v>118</v>
      </c>
      <c r="AP1072">
        <v>134</v>
      </c>
      <c r="AQ1072">
        <v>109</v>
      </c>
      <c r="AR1072">
        <v>-64</v>
      </c>
      <c r="AZ1072">
        <v>1200</v>
      </c>
      <c r="BA1072">
        <v>1</v>
      </c>
      <c r="BB1072" t="str">
        <f t="shared" si="54"/>
        <v xml:space="preserve">N690LS  </v>
      </c>
      <c r="BC1072">
        <v>1</v>
      </c>
      <c r="BE1072">
        <v>0</v>
      </c>
      <c r="BF1072">
        <v>0</v>
      </c>
      <c r="BG1072">
        <v>0</v>
      </c>
      <c r="BH1072">
        <v>16100</v>
      </c>
      <c r="BI1072">
        <v>1</v>
      </c>
      <c r="BJ1072">
        <v>1</v>
      </c>
      <c r="BK1072">
        <v>1</v>
      </c>
      <c r="BL1072">
        <v>0</v>
      </c>
      <c r="BO1072">
        <v>0</v>
      </c>
      <c r="BP1072">
        <v>0</v>
      </c>
      <c r="BW1072" t="str">
        <f>"13:59:25.650"</f>
        <v>13:59:25.650</v>
      </c>
      <c r="CJ1072">
        <v>0</v>
      </c>
      <c r="CK1072">
        <v>2</v>
      </c>
      <c r="CL1072">
        <v>0</v>
      </c>
      <c r="CM1072">
        <v>2</v>
      </c>
      <c r="CN1072">
        <v>0</v>
      </c>
      <c r="CO1072">
        <v>7</v>
      </c>
      <c r="CP1072" t="s">
        <v>119</v>
      </c>
      <c r="CQ1072">
        <v>197</v>
      </c>
      <c r="CR1072">
        <v>1</v>
      </c>
      <c r="CW1072">
        <v>7564219</v>
      </c>
      <c r="CY1072">
        <v>1</v>
      </c>
      <c r="CZ1072">
        <v>0</v>
      </c>
      <c r="DA1072">
        <v>1</v>
      </c>
      <c r="DB1072">
        <v>0</v>
      </c>
      <c r="DC1072">
        <v>0</v>
      </c>
      <c r="DD1072">
        <v>1</v>
      </c>
      <c r="DE1072">
        <v>0</v>
      </c>
      <c r="DF1072">
        <v>0</v>
      </c>
      <c r="DG1072">
        <v>0</v>
      </c>
      <c r="DH1072">
        <v>0</v>
      </c>
      <c r="DI1072">
        <v>0</v>
      </c>
    </row>
    <row r="1073" spans="1:113" x14ac:dyDescent="0.3">
      <c r="A1073" t="str">
        <f>"09/28/2021 13:59:26.824"</f>
        <v>09/28/2021 13:59:26.824</v>
      </c>
      <c r="C1073" t="str">
        <f t="shared" si="53"/>
        <v>FFDFD3C0</v>
      </c>
      <c r="D1073" t="s">
        <v>113</v>
      </c>
      <c r="E1073">
        <v>7</v>
      </c>
      <c r="H1073">
        <v>170</v>
      </c>
      <c r="I1073" t="s">
        <v>114</v>
      </c>
      <c r="J1073" t="s">
        <v>115</v>
      </c>
      <c r="K1073">
        <v>0</v>
      </c>
      <c r="L1073">
        <v>3</v>
      </c>
      <c r="M1073">
        <v>0</v>
      </c>
      <c r="N1073">
        <v>2</v>
      </c>
      <c r="O1073">
        <v>1</v>
      </c>
      <c r="P1073">
        <v>0</v>
      </c>
      <c r="Q1073">
        <v>0</v>
      </c>
      <c r="S1073" t="str">
        <f>"13:59:26.625"</f>
        <v>13:59:26.625</v>
      </c>
      <c r="T1073" t="str">
        <f>"13:59:26.225"</f>
        <v>13:59:26.225</v>
      </c>
      <c r="U1073" t="str">
        <f t="shared" si="52"/>
        <v>A92BC1</v>
      </c>
      <c r="V1073">
        <v>0</v>
      </c>
      <c r="W1073">
        <v>0</v>
      </c>
      <c r="X1073">
        <v>2</v>
      </c>
      <c r="Z1073">
        <v>0</v>
      </c>
      <c r="AA1073">
        <v>9</v>
      </c>
      <c r="AB1073">
        <v>3</v>
      </c>
      <c r="AC1073">
        <v>0</v>
      </c>
      <c r="AD1073">
        <v>10</v>
      </c>
      <c r="AE1073">
        <v>0</v>
      </c>
      <c r="AF1073">
        <v>3</v>
      </c>
      <c r="AG1073">
        <v>2</v>
      </c>
      <c r="AH1073">
        <v>0</v>
      </c>
      <c r="AI1073" t="s">
        <v>1174</v>
      </c>
      <c r="AJ1073">
        <v>45.899892000000001</v>
      </c>
      <c r="AK1073" t="s">
        <v>1175</v>
      </c>
      <c r="AL1073">
        <v>-89.081396999999996</v>
      </c>
      <c r="AM1073">
        <v>100</v>
      </c>
      <c r="AN1073">
        <v>15600</v>
      </c>
      <c r="AO1073" t="s">
        <v>118</v>
      </c>
      <c r="AP1073">
        <v>133</v>
      </c>
      <c r="AQ1073">
        <v>109</v>
      </c>
      <c r="AR1073">
        <v>-64</v>
      </c>
      <c r="AZ1073">
        <v>1200</v>
      </c>
      <c r="BA1073">
        <v>1</v>
      </c>
      <c r="BB1073" t="str">
        <f t="shared" si="54"/>
        <v xml:space="preserve">N690LS  </v>
      </c>
      <c r="BC1073">
        <v>1</v>
      </c>
      <c r="BE1073">
        <v>0</v>
      </c>
      <c r="BF1073">
        <v>0</v>
      </c>
      <c r="BG1073">
        <v>0</v>
      </c>
      <c r="BH1073">
        <v>16100</v>
      </c>
      <c r="BI1073">
        <v>1</v>
      </c>
      <c r="BJ1073">
        <v>1</v>
      </c>
      <c r="BK1073">
        <v>1</v>
      </c>
      <c r="BL1073">
        <v>0</v>
      </c>
      <c r="BO1073">
        <v>0</v>
      </c>
      <c r="BP1073">
        <v>0</v>
      </c>
      <c r="BW1073" t="str">
        <f>"13:59:26.632"</f>
        <v>13:59:26.632</v>
      </c>
      <c r="CJ1073">
        <v>0</v>
      </c>
      <c r="CK1073">
        <v>2</v>
      </c>
      <c r="CL1073">
        <v>0</v>
      </c>
      <c r="CM1073">
        <v>2</v>
      </c>
      <c r="CN1073">
        <v>0</v>
      </c>
      <c r="CO1073">
        <v>7</v>
      </c>
      <c r="CP1073" t="s">
        <v>119</v>
      </c>
      <c r="CQ1073">
        <v>197</v>
      </c>
      <c r="CR1073">
        <v>1</v>
      </c>
      <c r="CW1073">
        <v>7565428</v>
      </c>
      <c r="CY1073">
        <v>1</v>
      </c>
      <c r="CZ1073">
        <v>0</v>
      </c>
      <c r="DA1073">
        <v>0</v>
      </c>
      <c r="DB1073">
        <v>0</v>
      </c>
      <c r="DC1073">
        <v>0</v>
      </c>
      <c r="DD1073">
        <v>1</v>
      </c>
      <c r="DE1073">
        <v>0</v>
      </c>
      <c r="DF1073">
        <v>0</v>
      </c>
      <c r="DG1073">
        <v>0</v>
      </c>
      <c r="DH1073">
        <v>0</v>
      </c>
      <c r="DI1073">
        <v>0</v>
      </c>
    </row>
    <row r="1074" spans="1:113" x14ac:dyDescent="0.3">
      <c r="A1074" t="str">
        <f>"09/28/2021 13:59:26.824"</f>
        <v>09/28/2021 13:59:26.824</v>
      </c>
      <c r="C1074" t="str">
        <f t="shared" si="53"/>
        <v>FFDFD3C0</v>
      </c>
      <c r="D1074" t="s">
        <v>120</v>
      </c>
      <c r="E1074">
        <v>12</v>
      </c>
      <c r="F1074">
        <v>1012</v>
      </c>
      <c r="G1074" t="s">
        <v>114</v>
      </c>
      <c r="J1074" t="s">
        <v>121</v>
      </c>
      <c r="K1074">
        <v>0</v>
      </c>
      <c r="L1074">
        <v>3</v>
      </c>
      <c r="M1074">
        <v>0</v>
      </c>
      <c r="N1074">
        <v>2</v>
      </c>
      <c r="O1074">
        <v>1</v>
      </c>
      <c r="P1074">
        <v>0</v>
      </c>
      <c r="Q1074">
        <v>0</v>
      </c>
      <c r="S1074" t="str">
        <f>"13:59:26.625"</f>
        <v>13:59:26.625</v>
      </c>
      <c r="T1074" t="str">
        <f>"13:59:26.225"</f>
        <v>13:59:26.225</v>
      </c>
      <c r="U1074" t="str">
        <f t="shared" si="52"/>
        <v>A92BC1</v>
      </c>
      <c r="V1074">
        <v>0</v>
      </c>
      <c r="W1074">
        <v>0</v>
      </c>
      <c r="X1074">
        <v>2</v>
      </c>
      <c r="Z1074">
        <v>0</v>
      </c>
      <c r="AA1074">
        <v>9</v>
      </c>
      <c r="AB1074">
        <v>3</v>
      </c>
      <c r="AC1074">
        <v>0</v>
      </c>
      <c r="AD1074">
        <v>10</v>
      </c>
      <c r="AE1074">
        <v>0</v>
      </c>
      <c r="AF1074">
        <v>3</v>
      </c>
      <c r="AG1074">
        <v>2</v>
      </c>
      <c r="AH1074">
        <v>0</v>
      </c>
      <c r="AI1074" t="s">
        <v>1174</v>
      </c>
      <c r="AJ1074">
        <v>45.899892000000001</v>
      </c>
      <c r="AK1074" t="s">
        <v>1175</v>
      </c>
      <c r="AL1074">
        <v>-89.081396999999996</v>
      </c>
      <c r="AM1074">
        <v>100</v>
      </c>
      <c r="AN1074">
        <v>15600</v>
      </c>
      <c r="AO1074" t="s">
        <v>118</v>
      </c>
      <c r="AP1074">
        <v>133</v>
      </c>
      <c r="AQ1074">
        <v>109</v>
      </c>
      <c r="AR1074">
        <v>-64</v>
      </c>
      <c r="AZ1074">
        <v>1200</v>
      </c>
      <c r="BA1074">
        <v>1</v>
      </c>
      <c r="BB1074" t="str">
        <f t="shared" si="54"/>
        <v xml:space="preserve">N690LS  </v>
      </c>
      <c r="BC1074">
        <v>1</v>
      </c>
      <c r="BE1074">
        <v>0</v>
      </c>
      <c r="BF1074">
        <v>0</v>
      </c>
      <c r="BG1074">
        <v>0</v>
      </c>
      <c r="BH1074">
        <v>16100</v>
      </c>
      <c r="BI1074">
        <v>1</v>
      </c>
      <c r="BJ1074">
        <v>1</v>
      </c>
      <c r="BK1074">
        <v>1</v>
      </c>
      <c r="BL1074">
        <v>0</v>
      </c>
      <c r="BO1074">
        <v>0</v>
      </c>
      <c r="BP1074">
        <v>0</v>
      </c>
      <c r="BW1074" t="str">
        <f>"13:59:26.632"</f>
        <v>13:59:26.632</v>
      </c>
      <c r="CJ1074">
        <v>0</v>
      </c>
      <c r="CK1074">
        <v>2</v>
      </c>
      <c r="CL1074">
        <v>0</v>
      </c>
      <c r="CM1074">
        <v>2</v>
      </c>
      <c r="CN1074">
        <v>0</v>
      </c>
      <c r="CO1074">
        <v>7</v>
      </c>
      <c r="CP1074" t="s">
        <v>119</v>
      </c>
      <c r="CQ1074">
        <v>197</v>
      </c>
      <c r="CR1074">
        <v>1</v>
      </c>
      <c r="CW1074">
        <v>7565428</v>
      </c>
      <c r="CY1074">
        <v>1</v>
      </c>
      <c r="CZ1074">
        <v>0</v>
      </c>
      <c r="DA1074">
        <v>1</v>
      </c>
      <c r="DB1074">
        <v>0</v>
      </c>
      <c r="DC1074">
        <v>0</v>
      </c>
      <c r="DD1074">
        <v>1</v>
      </c>
      <c r="DE1074">
        <v>0</v>
      </c>
      <c r="DF1074">
        <v>0</v>
      </c>
      <c r="DG1074">
        <v>0</v>
      </c>
      <c r="DH1074">
        <v>0</v>
      </c>
      <c r="DI1074">
        <v>0</v>
      </c>
    </row>
    <row r="1075" spans="1:113" x14ac:dyDescent="0.3">
      <c r="A1075" t="str">
        <f>"09/28/2021 13:59:28.043"</f>
        <v>09/28/2021 13:59:28.043</v>
      </c>
      <c r="C1075" t="str">
        <f t="shared" si="53"/>
        <v>FFDFD3C0</v>
      </c>
      <c r="D1075" t="s">
        <v>113</v>
      </c>
      <c r="E1075">
        <v>7</v>
      </c>
      <c r="H1075">
        <v>170</v>
      </c>
      <c r="I1075" t="s">
        <v>114</v>
      </c>
      <c r="J1075" t="s">
        <v>115</v>
      </c>
      <c r="K1075">
        <v>0</v>
      </c>
      <c r="L1075">
        <v>3</v>
      </c>
      <c r="M1075">
        <v>0</v>
      </c>
      <c r="N1075">
        <v>2</v>
      </c>
      <c r="O1075">
        <v>1</v>
      </c>
      <c r="P1075">
        <v>0</v>
      </c>
      <c r="Q1075">
        <v>0</v>
      </c>
      <c r="S1075" t="str">
        <f>"13:59:27.766"</f>
        <v>13:59:27.766</v>
      </c>
      <c r="T1075" t="str">
        <f>"13:59:27.266"</f>
        <v>13:59:27.266</v>
      </c>
      <c r="U1075" t="str">
        <f t="shared" si="52"/>
        <v>A92BC1</v>
      </c>
      <c r="V1075">
        <v>0</v>
      </c>
      <c r="W1075">
        <v>0</v>
      </c>
      <c r="X1075">
        <v>2</v>
      </c>
      <c r="Z1075">
        <v>0</v>
      </c>
      <c r="AA1075">
        <v>9</v>
      </c>
      <c r="AB1075">
        <v>3</v>
      </c>
      <c r="AC1075">
        <v>0</v>
      </c>
      <c r="AD1075">
        <v>10</v>
      </c>
      <c r="AE1075">
        <v>0</v>
      </c>
      <c r="AF1075">
        <v>3</v>
      </c>
      <c r="AG1075">
        <v>2</v>
      </c>
      <c r="AH1075">
        <v>0</v>
      </c>
      <c r="AI1075" t="s">
        <v>1176</v>
      </c>
      <c r="AJ1075">
        <v>45.900427999999998</v>
      </c>
      <c r="AK1075" t="s">
        <v>1177</v>
      </c>
      <c r="AL1075">
        <v>-89.080431000000004</v>
      </c>
      <c r="AM1075">
        <v>100</v>
      </c>
      <c r="AN1075">
        <v>15600</v>
      </c>
      <c r="AO1075" t="s">
        <v>118</v>
      </c>
      <c r="AP1075">
        <v>132</v>
      </c>
      <c r="AQ1075">
        <v>108</v>
      </c>
      <c r="AR1075">
        <v>-64</v>
      </c>
      <c r="AZ1075">
        <v>1200</v>
      </c>
      <c r="BA1075">
        <v>1</v>
      </c>
      <c r="BB1075" t="str">
        <f t="shared" si="54"/>
        <v xml:space="preserve">N690LS  </v>
      </c>
      <c r="BC1075">
        <v>1</v>
      </c>
      <c r="BE1075">
        <v>0</v>
      </c>
      <c r="BF1075">
        <v>0</v>
      </c>
      <c r="BG1075">
        <v>0</v>
      </c>
      <c r="BH1075">
        <v>16100</v>
      </c>
      <c r="BI1075">
        <v>1</v>
      </c>
      <c r="BJ1075">
        <v>1</v>
      </c>
      <c r="BK1075">
        <v>1</v>
      </c>
      <c r="BL1075">
        <v>0</v>
      </c>
      <c r="BO1075">
        <v>0</v>
      </c>
      <c r="BP1075">
        <v>0</v>
      </c>
      <c r="BW1075" t="str">
        <f>"13:59:27.767"</f>
        <v>13:59:27.767</v>
      </c>
      <c r="CJ1075">
        <v>0</v>
      </c>
      <c r="CK1075">
        <v>2</v>
      </c>
      <c r="CL1075">
        <v>0</v>
      </c>
      <c r="CM1075">
        <v>2</v>
      </c>
      <c r="CN1075">
        <v>0</v>
      </c>
      <c r="CO1075">
        <v>7</v>
      </c>
      <c r="CP1075" t="s">
        <v>119</v>
      </c>
      <c r="CQ1075">
        <v>197</v>
      </c>
      <c r="CR1075">
        <v>1</v>
      </c>
      <c r="CW1075">
        <v>7566882</v>
      </c>
      <c r="CY1075">
        <v>1</v>
      </c>
      <c r="CZ1075">
        <v>0</v>
      </c>
      <c r="DA1075">
        <v>0</v>
      </c>
      <c r="DB1075">
        <v>0</v>
      </c>
      <c r="DC1075">
        <v>0</v>
      </c>
      <c r="DD1075">
        <v>1</v>
      </c>
      <c r="DE1075">
        <v>0</v>
      </c>
      <c r="DF1075">
        <v>0</v>
      </c>
      <c r="DG1075">
        <v>0</v>
      </c>
      <c r="DH1075">
        <v>0</v>
      </c>
      <c r="DI1075">
        <v>0</v>
      </c>
    </row>
    <row r="1076" spans="1:113" x14ac:dyDescent="0.3">
      <c r="A1076" t="str">
        <f>"09/28/2021 13:59:28.043"</f>
        <v>09/28/2021 13:59:28.043</v>
      </c>
      <c r="C1076" t="str">
        <f t="shared" si="53"/>
        <v>FFDFD3C0</v>
      </c>
      <c r="D1076" t="s">
        <v>120</v>
      </c>
      <c r="E1076">
        <v>12</v>
      </c>
      <c r="F1076">
        <v>1012</v>
      </c>
      <c r="G1076" t="s">
        <v>114</v>
      </c>
      <c r="J1076" t="s">
        <v>121</v>
      </c>
      <c r="K1076">
        <v>0</v>
      </c>
      <c r="L1076">
        <v>3</v>
      </c>
      <c r="M1076">
        <v>0</v>
      </c>
      <c r="N1076">
        <v>2</v>
      </c>
      <c r="O1076">
        <v>1</v>
      </c>
      <c r="P1076">
        <v>0</v>
      </c>
      <c r="Q1076">
        <v>0</v>
      </c>
      <c r="S1076" t="str">
        <f>"13:59:27.766"</f>
        <v>13:59:27.766</v>
      </c>
      <c r="T1076" t="str">
        <f>"13:59:27.266"</f>
        <v>13:59:27.266</v>
      </c>
      <c r="U1076" t="str">
        <f t="shared" si="52"/>
        <v>A92BC1</v>
      </c>
      <c r="V1076">
        <v>0</v>
      </c>
      <c r="W1076">
        <v>0</v>
      </c>
      <c r="X1076">
        <v>2</v>
      </c>
      <c r="Z1076">
        <v>0</v>
      </c>
      <c r="AA1076">
        <v>9</v>
      </c>
      <c r="AB1076">
        <v>3</v>
      </c>
      <c r="AC1076">
        <v>0</v>
      </c>
      <c r="AD1076">
        <v>10</v>
      </c>
      <c r="AE1076">
        <v>0</v>
      </c>
      <c r="AF1076">
        <v>3</v>
      </c>
      <c r="AG1076">
        <v>2</v>
      </c>
      <c r="AH1076">
        <v>0</v>
      </c>
      <c r="AI1076" t="s">
        <v>1176</v>
      </c>
      <c r="AJ1076">
        <v>45.900427999999998</v>
      </c>
      <c r="AK1076" t="s">
        <v>1177</v>
      </c>
      <c r="AL1076">
        <v>-89.080431000000004</v>
      </c>
      <c r="AM1076">
        <v>100</v>
      </c>
      <c r="AN1076">
        <v>15600</v>
      </c>
      <c r="AO1076" t="s">
        <v>118</v>
      </c>
      <c r="AP1076">
        <v>132</v>
      </c>
      <c r="AQ1076">
        <v>108</v>
      </c>
      <c r="AR1076">
        <v>-64</v>
      </c>
      <c r="AZ1076">
        <v>1200</v>
      </c>
      <c r="BA1076">
        <v>1</v>
      </c>
      <c r="BB1076" t="str">
        <f t="shared" si="54"/>
        <v xml:space="preserve">N690LS  </v>
      </c>
      <c r="BC1076">
        <v>1</v>
      </c>
      <c r="BE1076">
        <v>0</v>
      </c>
      <c r="BF1076">
        <v>0</v>
      </c>
      <c r="BG1076">
        <v>0</v>
      </c>
      <c r="BH1076">
        <v>16100</v>
      </c>
      <c r="BI1076">
        <v>1</v>
      </c>
      <c r="BJ1076">
        <v>1</v>
      </c>
      <c r="BK1076">
        <v>1</v>
      </c>
      <c r="BL1076">
        <v>0</v>
      </c>
      <c r="BO1076">
        <v>0</v>
      </c>
      <c r="BP1076">
        <v>0</v>
      </c>
      <c r="BW1076" t="str">
        <f>"13:59:27.767"</f>
        <v>13:59:27.767</v>
      </c>
      <c r="CJ1076">
        <v>0</v>
      </c>
      <c r="CK1076">
        <v>2</v>
      </c>
      <c r="CL1076">
        <v>0</v>
      </c>
      <c r="CM1076">
        <v>2</v>
      </c>
      <c r="CN1076">
        <v>0</v>
      </c>
      <c r="CO1076">
        <v>7</v>
      </c>
      <c r="CP1076" t="s">
        <v>119</v>
      </c>
      <c r="CQ1076">
        <v>197</v>
      </c>
      <c r="CR1076">
        <v>1</v>
      </c>
      <c r="CW1076">
        <v>7566882</v>
      </c>
      <c r="CY1076">
        <v>1</v>
      </c>
      <c r="CZ1076">
        <v>0</v>
      </c>
      <c r="DA1076">
        <v>1</v>
      </c>
      <c r="DB1076">
        <v>0</v>
      </c>
      <c r="DC1076">
        <v>0</v>
      </c>
      <c r="DD1076">
        <v>1</v>
      </c>
      <c r="DE1076">
        <v>0</v>
      </c>
      <c r="DF1076">
        <v>0</v>
      </c>
      <c r="DG1076">
        <v>0</v>
      </c>
      <c r="DH1076">
        <v>0</v>
      </c>
      <c r="DI1076">
        <v>0</v>
      </c>
    </row>
    <row r="1077" spans="1:113" x14ac:dyDescent="0.3">
      <c r="A1077" t="str">
        <f>"09/28/2021 13:59:29.043"</f>
        <v>09/28/2021 13:59:29.043</v>
      </c>
      <c r="C1077" t="str">
        <f t="shared" si="53"/>
        <v>FFDFD3C0</v>
      </c>
      <c r="D1077" t="s">
        <v>120</v>
      </c>
      <c r="E1077">
        <v>12</v>
      </c>
      <c r="F1077">
        <v>1012</v>
      </c>
      <c r="G1077" t="s">
        <v>114</v>
      </c>
      <c r="J1077" t="s">
        <v>121</v>
      </c>
      <c r="K1077">
        <v>0</v>
      </c>
      <c r="L1077">
        <v>3</v>
      </c>
      <c r="M1077">
        <v>0</v>
      </c>
      <c r="N1077">
        <v>2</v>
      </c>
      <c r="O1077">
        <v>1</v>
      </c>
      <c r="P1077">
        <v>0</v>
      </c>
      <c r="Q1077">
        <v>0</v>
      </c>
      <c r="S1077" t="str">
        <f>"13:59:28.852"</f>
        <v>13:59:28.852</v>
      </c>
      <c r="T1077" t="str">
        <f>"13:59:28.352"</f>
        <v>13:59:28.352</v>
      </c>
      <c r="U1077" t="str">
        <f t="shared" si="52"/>
        <v>A92BC1</v>
      </c>
      <c r="V1077">
        <v>0</v>
      </c>
      <c r="W1077">
        <v>0</v>
      </c>
      <c r="X1077">
        <v>2</v>
      </c>
      <c r="Z1077">
        <v>0</v>
      </c>
      <c r="AA1077">
        <v>9</v>
      </c>
      <c r="AB1077">
        <v>3</v>
      </c>
      <c r="AC1077">
        <v>0</v>
      </c>
      <c r="AD1077">
        <v>10</v>
      </c>
      <c r="AE1077">
        <v>0</v>
      </c>
      <c r="AF1077">
        <v>3</v>
      </c>
      <c r="AG1077">
        <v>2</v>
      </c>
      <c r="AH1077">
        <v>0</v>
      </c>
      <c r="AI1077" t="s">
        <v>1178</v>
      </c>
      <c r="AJ1077">
        <v>45.900964999999999</v>
      </c>
      <c r="AK1077" t="s">
        <v>1179</v>
      </c>
      <c r="AL1077">
        <v>-89.079487</v>
      </c>
      <c r="AM1077">
        <v>100</v>
      </c>
      <c r="AN1077">
        <v>15600</v>
      </c>
      <c r="AO1077" t="s">
        <v>118</v>
      </c>
      <c r="AP1077">
        <v>131</v>
      </c>
      <c r="AQ1077">
        <v>107</v>
      </c>
      <c r="AR1077">
        <v>-64</v>
      </c>
      <c r="AZ1077">
        <v>1200</v>
      </c>
      <c r="BA1077">
        <v>1</v>
      </c>
      <c r="BB1077" t="str">
        <f t="shared" si="54"/>
        <v xml:space="preserve">N690LS  </v>
      </c>
      <c r="BC1077">
        <v>1</v>
      </c>
      <c r="BE1077">
        <v>0</v>
      </c>
      <c r="BF1077">
        <v>0</v>
      </c>
      <c r="BG1077">
        <v>0</v>
      </c>
      <c r="BH1077">
        <v>16100</v>
      </c>
      <c r="BI1077">
        <v>1</v>
      </c>
      <c r="BJ1077">
        <v>1</v>
      </c>
      <c r="BK1077">
        <v>1</v>
      </c>
      <c r="BL1077">
        <v>0</v>
      </c>
      <c r="BO1077">
        <v>0</v>
      </c>
      <c r="BP1077">
        <v>0</v>
      </c>
      <c r="BW1077" t="str">
        <f>"13:59:28.857"</f>
        <v>13:59:28.857</v>
      </c>
      <c r="CJ1077">
        <v>0</v>
      </c>
      <c r="CK1077">
        <v>2</v>
      </c>
      <c r="CL1077">
        <v>0</v>
      </c>
      <c r="CM1077">
        <v>2</v>
      </c>
      <c r="CN1077">
        <v>0</v>
      </c>
      <c r="CO1077">
        <v>7</v>
      </c>
      <c r="CP1077" t="s">
        <v>119</v>
      </c>
      <c r="CQ1077">
        <v>197</v>
      </c>
      <c r="CR1077">
        <v>1</v>
      </c>
      <c r="CW1077">
        <v>7568316</v>
      </c>
      <c r="CY1077">
        <v>1</v>
      </c>
      <c r="CZ1077">
        <v>0</v>
      </c>
      <c r="DA1077">
        <v>0</v>
      </c>
      <c r="DB1077">
        <v>0</v>
      </c>
      <c r="DC1077">
        <v>0</v>
      </c>
      <c r="DD1077">
        <v>1</v>
      </c>
      <c r="DE1077">
        <v>0</v>
      </c>
      <c r="DF1077">
        <v>0</v>
      </c>
      <c r="DG1077">
        <v>0</v>
      </c>
      <c r="DH1077">
        <v>0</v>
      </c>
      <c r="DI1077">
        <v>0</v>
      </c>
    </row>
    <row r="1078" spans="1:113" x14ac:dyDescent="0.3">
      <c r="A1078" t="str">
        <f>"09/28/2021 13:59:29.043"</f>
        <v>09/28/2021 13:59:29.043</v>
      </c>
      <c r="C1078" t="str">
        <f t="shared" si="53"/>
        <v>FFDFD3C0</v>
      </c>
      <c r="D1078" t="s">
        <v>113</v>
      </c>
      <c r="E1078">
        <v>7</v>
      </c>
      <c r="H1078">
        <v>170</v>
      </c>
      <c r="I1078" t="s">
        <v>114</v>
      </c>
      <c r="J1078" t="s">
        <v>115</v>
      </c>
      <c r="K1078">
        <v>0</v>
      </c>
      <c r="L1078">
        <v>3</v>
      </c>
      <c r="M1078">
        <v>0</v>
      </c>
      <c r="N1078">
        <v>2</v>
      </c>
      <c r="O1078">
        <v>1</v>
      </c>
      <c r="P1078">
        <v>0</v>
      </c>
      <c r="Q1078">
        <v>0</v>
      </c>
      <c r="S1078" t="str">
        <f>"13:59:28.852"</f>
        <v>13:59:28.852</v>
      </c>
      <c r="T1078" t="str">
        <f>"13:59:28.352"</f>
        <v>13:59:28.352</v>
      </c>
      <c r="U1078" t="str">
        <f t="shared" si="52"/>
        <v>A92BC1</v>
      </c>
      <c r="V1078">
        <v>0</v>
      </c>
      <c r="W1078">
        <v>0</v>
      </c>
      <c r="X1078">
        <v>2</v>
      </c>
      <c r="Z1078">
        <v>0</v>
      </c>
      <c r="AA1078">
        <v>9</v>
      </c>
      <c r="AB1078">
        <v>3</v>
      </c>
      <c r="AC1078">
        <v>0</v>
      </c>
      <c r="AD1078">
        <v>10</v>
      </c>
      <c r="AE1078">
        <v>0</v>
      </c>
      <c r="AF1078">
        <v>3</v>
      </c>
      <c r="AG1078">
        <v>2</v>
      </c>
      <c r="AH1078">
        <v>0</v>
      </c>
      <c r="AI1078" t="s">
        <v>1178</v>
      </c>
      <c r="AJ1078">
        <v>45.900964999999999</v>
      </c>
      <c r="AK1078" t="s">
        <v>1179</v>
      </c>
      <c r="AL1078">
        <v>-89.079487</v>
      </c>
      <c r="AM1078">
        <v>100</v>
      </c>
      <c r="AN1078">
        <v>15600</v>
      </c>
      <c r="AO1078" t="s">
        <v>118</v>
      </c>
      <c r="AP1078">
        <v>131</v>
      </c>
      <c r="AQ1078">
        <v>107</v>
      </c>
      <c r="AR1078">
        <v>-64</v>
      </c>
      <c r="AZ1078">
        <v>1200</v>
      </c>
      <c r="BA1078">
        <v>1</v>
      </c>
      <c r="BB1078" t="str">
        <f t="shared" si="54"/>
        <v xml:space="preserve">N690LS  </v>
      </c>
      <c r="BC1078">
        <v>1</v>
      </c>
      <c r="BE1078">
        <v>0</v>
      </c>
      <c r="BF1078">
        <v>0</v>
      </c>
      <c r="BG1078">
        <v>0</v>
      </c>
      <c r="BH1078">
        <v>16100</v>
      </c>
      <c r="BI1078">
        <v>1</v>
      </c>
      <c r="BJ1078">
        <v>1</v>
      </c>
      <c r="BK1078">
        <v>1</v>
      </c>
      <c r="BL1078">
        <v>0</v>
      </c>
      <c r="BO1078">
        <v>0</v>
      </c>
      <c r="BP1078">
        <v>0</v>
      </c>
      <c r="BW1078" t="str">
        <f>"13:59:28.857"</f>
        <v>13:59:28.857</v>
      </c>
      <c r="CJ1078">
        <v>0</v>
      </c>
      <c r="CK1078">
        <v>2</v>
      </c>
      <c r="CL1078">
        <v>0</v>
      </c>
      <c r="CM1078">
        <v>2</v>
      </c>
      <c r="CN1078">
        <v>0</v>
      </c>
      <c r="CO1078">
        <v>7</v>
      </c>
      <c r="CP1078" t="s">
        <v>119</v>
      </c>
      <c r="CQ1078">
        <v>197</v>
      </c>
      <c r="CR1078">
        <v>1</v>
      </c>
      <c r="CW1078">
        <v>7568316</v>
      </c>
      <c r="CY1078">
        <v>1</v>
      </c>
      <c r="CZ1078">
        <v>0</v>
      </c>
      <c r="DA1078">
        <v>1</v>
      </c>
      <c r="DB1078">
        <v>0</v>
      </c>
      <c r="DC1078">
        <v>0</v>
      </c>
      <c r="DD1078">
        <v>1</v>
      </c>
      <c r="DE1078">
        <v>0</v>
      </c>
      <c r="DF1078">
        <v>0</v>
      </c>
      <c r="DG1078">
        <v>0</v>
      </c>
      <c r="DH1078">
        <v>0</v>
      </c>
      <c r="DI1078">
        <v>0</v>
      </c>
    </row>
    <row r="1079" spans="1:113" x14ac:dyDescent="0.3">
      <c r="A1079" t="str">
        <f>"09/28/2021 13:59:30.075"</f>
        <v>09/28/2021 13:59:30.075</v>
      </c>
      <c r="C1079" t="str">
        <f t="shared" si="53"/>
        <v>FFDFD3C0</v>
      </c>
      <c r="D1079" t="s">
        <v>113</v>
      </c>
      <c r="E1079">
        <v>7</v>
      </c>
      <c r="H1079">
        <v>170</v>
      </c>
      <c r="I1079" t="s">
        <v>114</v>
      </c>
      <c r="J1079" t="s">
        <v>115</v>
      </c>
      <c r="K1079">
        <v>0</v>
      </c>
      <c r="L1079">
        <v>3</v>
      </c>
      <c r="M1079">
        <v>0</v>
      </c>
      <c r="N1079">
        <v>2</v>
      </c>
      <c r="O1079">
        <v>1</v>
      </c>
      <c r="P1079">
        <v>0</v>
      </c>
      <c r="Q1079">
        <v>0</v>
      </c>
      <c r="S1079" t="str">
        <f>"13:59:29.859"</f>
        <v>13:59:29.859</v>
      </c>
      <c r="T1079" t="str">
        <f>"13:59:29.359"</f>
        <v>13:59:29.359</v>
      </c>
      <c r="U1079" t="str">
        <f t="shared" si="52"/>
        <v>A92BC1</v>
      </c>
      <c r="V1079">
        <v>0</v>
      </c>
      <c r="W1079">
        <v>0</v>
      </c>
      <c r="X1079">
        <v>2</v>
      </c>
      <c r="Z1079">
        <v>0</v>
      </c>
      <c r="AA1079">
        <v>9</v>
      </c>
      <c r="AB1079">
        <v>3</v>
      </c>
      <c r="AC1079">
        <v>0</v>
      </c>
      <c r="AD1079">
        <v>10</v>
      </c>
      <c r="AE1079">
        <v>0</v>
      </c>
      <c r="AF1079">
        <v>3</v>
      </c>
      <c r="AG1079">
        <v>2</v>
      </c>
      <c r="AH1079">
        <v>0</v>
      </c>
      <c r="AI1079" t="s">
        <v>1180</v>
      </c>
      <c r="AJ1079">
        <v>45.901437000000001</v>
      </c>
      <c r="AK1079" t="s">
        <v>1181</v>
      </c>
      <c r="AL1079">
        <v>-89.078649999999996</v>
      </c>
      <c r="AM1079">
        <v>100</v>
      </c>
      <c r="AN1079">
        <v>15600</v>
      </c>
      <c r="AO1079" t="s">
        <v>118</v>
      </c>
      <c r="AP1079">
        <v>130</v>
      </c>
      <c r="AQ1079">
        <v>106</v>
      </c>
      <c r="AR1079">
        <v>-64</v>
      </c>
      <c r="AZ1079">
        <v>1200</v>
      </c>
      <c r="BA1079">
        <v>1</v>
      </c>
      <c r="BB1079" t="str">
        <f t="shared" si="54"/>
        <v xml:space="preserve">N690LS  </v>
      </c>
      <c r="BC1079">
        <v>1</v>
      </c>
      <c r="BE1079">
        <v>0</v>
      </c>
      <c r="BF1079">
        <v>0</v>
      </c>
      <c r="BG1079">
        <v>0</v>
      </c>
      <c r="BH1079">
        <v>16100</v>
      </c>
      <c r="BI1079">
        <v>1</v>
      </c>
      <c r="BJ1079">
        <v>1</v>
      </c>
      <c r="BK1079">
        <v>1</v>
      </c>
      <c r="BL1079">
        <v>0</v>
      </c>
      <c r="BO1079">
        <v>0</v>
      </c>
      <c r="BP1079">
        <v>0</v>
      </c>
      <c r="BW1079" t="str">
        <f>"13:59:29.863"</f>
        <v>13:59:29.863</v>
      </c>
      <c r="CJ1079">
        <v>0</v>
      </c>
      <c r="CK1079">
        <v>2</v>
      </c>
      <c r="CL1079">
        <v>0</v>
      </c>
      <c r="CM1079">
        <v>2</v>
      </c>
      <c r="CN1079">
        <v>0</v>
      </c>
      <c r="CO1079">
        <v>7</v>
      </c>
      <c r="CP1079" t="s">
        <v>119</v>
      </c>
      <c r="CQ1079">
        <v>197</v>
      </c>
      <c r="CR1079">
        <v>1</v>
      </c>
      <c r="CW1079">
        <v>7569683</v>
      </c>
      <c r="CY1079">
        <v>1</v>
      </c>
      <c r="CZ1079">
        <v>0</v>
      </c>
      <c r="DA1079">
        <v>0</v>
      </c>
      <c r="DB1079">
        <v>0</v>
      </c>
      <c r="DC1079">
        <v>0</v>
      </c>
      <c r="DD1079">
        <v>1</v>
      </c>
      <c r="DE1079">
        <v>0</v>
      </c>
      <c r="DF1079">
        <v>0</v>
      </c>
      <c r="DG1079">
        <v>0</v>
      </c>
      <c r="DH1079">
        <v>0</v>
      </c>
      <c r="DI1079">
        <v>0</v>
      </c>
    </row>
    <row r="1080" spans="1:113" x14ac:dyDescent="0.3">
      <c r="A1080" t="str">
        <f>"09/28/2021 13:59:30.075"</f>
        <v>09/28/2021 13:59:30.075</v>
      </c>
      <c r="C1080" t="str">
        <f t="shared" si="53"/>
        <v>FFDFD3C0</v>
      </c>
      <c r="D1080" t="s">
        <v>120</v>
      </c>
      <c r="E1080">
        <v>12</v>
      </c>
      <c r="F1080">
        <v>1012</v>
      </c>
      <c r="G1080" t="s">
        <v>114</v>
      </c>
      <c r="J1080" t="s">
        <v>121</v>
      </c>
      <c r="K1080">
        <v>0</v>
      </c>
      <c r="L1080">
        <v>3</v>
      </c>
      <c r="M1080">
        <v>0</v>
      </c>
      <c r="N1080">
        <v>2</v>
      </c>
      <c r="O1080">
        <v>1</v>
      </c>
      <c r="P1080">
        <v>0</v>
      </c>
      <c r="Q1080">
        <v>0</v>
      </c>
      <c r="S1080" t="str">
        <f>"13:59:29.859"</f>
        <v>13:59:29.859</v>
      </c>
      <c r="T1080" t="str">
        <f>"13:59:29.359"</f>
        <v>13:59:29.359</v>
      </c>
      <c r="U1080" t="str">
        <f t="shared" si="52"/>
        <v>A92BC1</v>
      </c>
      <c r="V1080">
        <v>0</v>
      </c>
      <c r="W1080">
        <v>0</v>
      </c>
      <c r="X1080">
        <v>2</v>
      </c>
      <c r="Z1080">
        <v>0</v>
      </c>
      <c r="AA1080">
        <v>9</v>
      </c>
      <c r="AB1080">
        <v>3</v>
      </c>
      <c r="AC1080">
        <v>0</v>
      </c>
      <c r="AD1080">
        <v>10</v>
      </c>
      <c r="AE1080">
        <v>0</v>
      </c>
      <c r="AF1080">
        <v>3</v>
      </c>
      <c r="AG1080">
        <v>2</v>
      </c>
      <c r="AH1080">
        <v>0</v>
      </c>
      <c r="AI1080" t="s">
        <v>1180</v>
      </c>
      <c r="AJ1080">
        <v>45.901437000000001</v>
      </c>
      <c r="AK1080" t="s">
        <v>1181</v>
      </c>
      <c r="AL1080">
        <v>-89.078649999999996</v>
      </c>
      <c r="AM1080">
        <v>100</v>
      </c>
      <c r="AN1080">
        <v>15600</v>
      </c>
      <c r="AO1080" t="s">
        <v>118</v>
      </c>
      <c r="AP1080">
        <v>130</v>
      </c>
      <c r="AQ1080">
        <v>106</v>
      </c>
      <c r="AR1080">
        <v>-64</v>
      </c>
      <c r="AZ1080">
        <v>1200</v>
      </c>
      <c r="BA1080">
        <v>1</v>
      </c>
      <c r="BB1080" t="str">
        <f t="shared" si="54"/>
        <v xml:space="preserve">N690LS  </v>
      </c>
      <c r="BC1080">
        <v>1</v>
      </c>
      <c r="BE1080">
        <v>0</v>
      </c>
      <c r="BF1080">
        <v>0</v>
      </c>
      <c r="BG1080">
        <v>0</v>
      </c>
      <c r="BH1080">
        <v>16100</v>
      </c>
      <c r="BI1080">
        <v>1</v>
      </c>
      <c r="BJ1080">
        <v>1</v>
      </c>
      <c r="BK1080">
        <v>1</v>
      </c>
      <c r="BL1080">
        <v>0</v>
      </c>
      <c r="BO1080">
        <v>0</v>
      </c>
      <c r="BP1080">
        <v>0</v>
      </c>
      <c r="BW1080" t="str">
        <f>"13:59:29.863"</f>
        <v>13:59:29.863</v>
      </c>
      <c r="CJ1080">
        <v>0</v>
      </c>
      <c r="CK1080">
        <v>2</v>
      </c>
      <c r="CL1080">
        <v>0</v>
      </c>
      <c r="CM1080">
        <v>2</v>
      </c>
      <c r="CN1080">
        <v>0</v>
      </c>
      <c r="CO1080">
        <v>7</v>
      </c>
      <c r="CP1080" t="s">
        <v>119</v>
      </c>
      <c r="CQ1080">
        <v>197</v>
      </c>
      <c r="CR1080">
        <v>1</v>
      </c>
      <c r="CW1080">
        <v>7569683</v>
      </c>
      <c r="CY1080">
        <v>1</v>
      </c>
      <c r="CZ1080">
        <v>0</v>
      </c>
      <c r="DA1080">
        <v>1</v>
      </c>
      <c r="DB1080">
        <v>0</v>
      </c>
      <c r="DC1080">
        <v>0</v>
      </c>
      <c r="DD1080">
        <v>1</v>
      </c>
      <c r="DE1080">
        <v>0</v>
      </c>
      <c r="DF1080">
        <v>0</v>
      </c>
      <c r="DG1080">
        <v>0</v>
      </c>
      <c r="DH1080">
        <v>0</v>
      </c>
      <c r="DI1080">
        <v>0</v>
      </c>
    </row>
    <row r="1081" spans="1:113" x14ac:dyDescent="0.3">
      <c r="A1081" t="str">
        <f>"09/28/2021 13:59:31.106"</f>
        <v>09/28/2021 13:59:31.106</v>
      </c>
      <c r="C1081" t="str">
        <f t="shared" si="53"/>
        <v>FFDFD3C0</v>
      </c>
      <c r="D1081" t="s">
        <v>120</v>
      </c>
      <c r="E1081">
        <v>12</v>
      </c>
      <c r="F1081">
        <v>1012</v>
      </c>
      <c r="G1081" t="s">
        <v>114</v>
      </c>
      <c r="J1081" t="s">
        <v>121</v>
      </c>
      <c r="K1081">
        <v>0</v>
      </c>
      <c r="L1081">
        <v>3</v>
      </c>
      <c r="M1081">
        <v>0</v>
      </c>
      <c r="N1081">
        <v>2</v>
      </c>
      <c r="O1081">
        <v>1</v>
      </c>
      <c r="P1081">
        <v>0</v>
      </c>
      <c r="Q1081">
        <v>0</v>
      </c>
      <c r="S1081" t="str">
        <f>"13:59:30.883"</f>
        <v>13:59:30.883</v>
      </c>
      <c r="T1081" t="str">
        <f>"13:59:30.383"</f>
        <v>13:59:30.383</v>
      </c>
      <c r="U1081" t="str">
        <f t="shared" si="52"/>
        <v>A92BC1</v>
      </c>
      <c r="V1081">
        <v>0</v>
      </c>
      <c r="W1081">
        <v>0</v>
      </c>
      <c r="X1081">
        <v>2</v>
      </c>
      <c r="Z1081">
        <v>0</v>
      </c>
      <c r="AA1081">
        <v>9</v>
      </c>
      <c r="AB1081">
        <v>3</v>
      </c>
      <c r="AC1081">
        <v>0</v>
      </c>
      <c r="AD1081">
        <v>10</v>
      </c>
      <c r="AE1081">
        <v>0</v>
      </c>
      <c r="AF1081">
        <v>3</v>
      </c>
      <c r="AG1081">
        <v>2</v>
      </c>
      <c r="AH1081">
        <v>0</v>
      </c>
      <c r="AI1081" t="s">
        <v>1182</v>
      </c>
      <c r="AJ1081">
        <v>45.901952000000001</v>
      </c>
      <c r="AK1081" t="s">
        <v>1183</v>
      </c>
      <c r="AL1081">
        <v>-89.077770999999998</v>
      </c>
      <c r="AM1081">
        <v>100</v>
      </c>
      <c r="AN1081">
        <v>15600</v>
      </c>
      <c r="AO1081" t="s">
        <v>118</v>
      </c>
      <c r="AP1081">
        <v>129</v>
      </c>
      <c r="AQ1081">
        <v>105</v>
      </c>
      <c r="AR1081">
        <v>-64</v>
      </c>
      <c r="AZ1081">
        <v>1200</v>
      </c>
      <c r="BA1081">
        <v>1</v>
      </c>
      <c r="BB1081" t="str">
        <f t="shared" si="54"/>
        <v xml:space="preserve">N690LS  </v>
      </c>
      <c r="BC1081">
        <v>1</v>
      </c>
      <c r="BE1081">
        <v>0</v>
      </c>
      <c r="BF1081">
        <v>0</v>
      </c>
      <c r="BG1081">
        <v>0</v>
      </c>
      <c r="BH1081">
        <v>16100</v>
      </c>
      <c r="BI1081">
        <v>1</v>
      </c>
      <c r="BJ1081">
        <v>1</v>
      </c>
      <c r="BK1081">
        <v>1</v>
      </c>
      <c r="BL1081">
        <v>0</v>
      </c>
      <c r="BO1081">
        <v>0</v>
      </c>
      <c r="BP1081">
        <v>0</v>
      </c>
      <c r="BW1081" t="str">
        <f>"13:59:30.888"</f>
        <v>13:59:30.888</v>
      </c>
      <c r="CJ1081">
        <v>0</v>
      </c>
      <c r="CK1081">
        <v>2</v>
      </c>
      <c r="CL1081">
        <v>0</v>
      </c>
      <c r="CM1081">
        <v>2</v>
      </c>
      <c r="CN1081">
        <v>0</v>
      </c>
      <c r="CO1081">
        <v>7</v>
      </c>
      <c r="CP1081" t="s">
        <v>119</v>
      </c>
      <c r="CQ1081">
        <v>209</v>
      </c>
      <c r="CR1081">
        <v>3</v>
      </c>
      <c r="CW1081">
        <v>7279561</v>
      </c>
      <c r="CY1081">
        <v>1</v>
      </c>
      <c r="CZ1081">
        <v>0</v>
      </c>
      <c r="DA1081">
        <v>0</v>
      </c>
      <c r="DB1081">
        <v>0</v>
      </c>
      <c r="DC1081">
        <v>0</v>
      </c>
      <c r="DD1081">
        <v>1</v>
      </c>
      <c r="DE1081">
        <v>0</v>
      </c>
      <c r="DF1081">
        <v>0</v>
      </c>
      <c r="DG1081">
        <v>0</v>
      </c>
      <c r="DH1081">
        <v>0</v>
      </c>
      <c r="DI1081">
        <v>0</v>
      </c>
    </row>
    <row r="1082" spans="1:113" x14ac:dyDescent="0.3">
      <c r="A1082" t="str">
        <f>"09/28/2021 13:59:31.106"</f>
        <v>09/28/2021 13:59:31.106</v>
      </c>
      <c r="C1082" t="str">
        <f t="shared" si="53"/>
        <v>FFDFD3C0</v>
      </c>
      <c r="D1082" t="s">
        <v>113</v>
      </c>
      <c r="E1082">
        <v>7</v>
      </c>
      <c r="H1082">
        <v>170</v>
      </c>
      <c r="I1082" t="s">
        <v>114</v>
      </c>
      <c r="J1082" t="s">
        <v>115</v>
      </c>
      <c r="K1082">
        <v>0</v>
      </c>
      <c r="L1082">
        <v>3</v>
      </c>
      <c r="M1082">
        <v>0</v>
      </c>
      <c r="N1082">
        <v>2</v>
      </c>
      <c r="O1082">
        <v>1</v>
      </c>
      <c r="P1082">
        <v>0</v>
      </c>
      <c r="Q1082">
        <v>0</v>
      </c>
      <c r="S1082" t="str">
        <f>"13:59:30.883"</f>
        <v>13:59:30.883</v>
      </c>
      <c r="T1082" t="str">
        <f>"13:59:30.383"</f>
        <v>13:59:30.383</v>
      </c>
      <c r="U1082" t="str">
        <f t="shared" si="52"/>
        <v>A92BC1</v>
      </c>
      <c r="V1082">
        <v>0</v>
      </c>
      <c r="W1082">
        <v>0</v>
      </c>
      <c r="X1082">
        <v>2</v>
      </c>
      <c r="Z1082">
        <v>0</v>
      </c>
      <c r="AA1082">
        <v>9</v>
      </c>
      <c r="AB1082">
        <v>3</v>
      </c>
      <c r="AC1082">
        <v>0</v>
      </c>
      <c r="AD1082">
        <v>10</v>
      </c>
      <c r="AE1082">
        <v>0</v>
      </c>
      <c r="AF1082">
        <v>3</v>
      </c>
      <c r="AG1082">
        <v>2</v>
      </c>
      <c r="AH1082">
        <v>0</v>
      </c>
      <c r="AI1082" t="s">
        <v>1182</v>
      </c>
      <c r="AJ1082">
        <v>45.901952000000001</v>
      </c>
      <c r="AK1082" t="s">
        <v>1183</v>
      </c>
      <c r="AL1082">
        <v>-89.077770999999998</v>
      </c>
      <c r="AM1082">
        <v>100</v>
      </c>
      <c r="AN1082">
        <v>15600</v>
      </c>
      <c r="AO1082" t="s">
        <v>118</v>
      </c>
      <c r="AP1082">
        <v>129</v>
      </c>
      <c r="AQ1082">
        <v>105</v>
      </c>
      <c r="AR1082">
        <v>-64</v>
      </c>
      <c r="AZ1082">
        <v>1200</v>
      </c>
      <c r="BA1082">
        <v>1</v>
      </c>
      <c r="BB1082" t="str">
        <f t="shared" si="54"/>
        <v xml:space="preserve">N690LS  </v>
      </c>
      <c r="BC1082">
        <v>1</v>
      </c>
      <c r="BE1082">
        <v>0</v>
      </c>
      <c r="BF1082">
        <v>0</v>
      </c>
      <c r="BG1082">
        <v>0</v>
      </c>
      <c r="BH1082">
        <v>16100</v>
      </c>
      <c r="BI1082">
        <v>1</v>
      </c>
      <c r="BJ1082">
        <v>1</v>
      </c>
      <c r="BK1082">
        <v>1</v>
      </c>
      <c r="BL1082">
        <v>0</v>
      </c>
      <c r="BO1082">
        <v>0</v>
      </c>
      <c r="BP1082">
        <v>0</v>
      </c>
      <c r="BW1082" t="str">
        <f>"13:59:30.888"</f>
        <v>13:59:30.888</v>
      </c>
      <c r="CJ1082">
        <v>0</v>
      </c>
      <c r="CK1082">
        <v>2</v>
      </c>
      <c r="CL1082">
        <v>0</v>
      </c>
      <c r="CM1082">
        <v>2</v>
      </c>
      <c r="CN1082">
        <v>0</v>
      </c>
      <c r="CO1082">
        <v>7</v>
      </c>
      <c r="CP1082" t="s">
        <v>119</v>
      </c>
      <c r="CQ1082">
        <v>209</v>
      </c>
      <c r="CR1082">
        <v>3</v>
      </c>
      <c r="CW1082">
        <v>7279561</v>
      </c>
      <c r="CY1082">
        <v>1</v>
      </c>
      <c r="CZ1082">
        <v>0</v>
      </c>
      <c r="DA1082">
        <v>1</v>
      </c>
      <c r="DB1082">
        <v>0</v>
      </c>
      <c r="DC1082">
        <v>0</v>
      </c>
      <c r="DD1082">
        <v>1</v>
      </c>
      <c r="DE1082">
        <v>0</v>
      </c>
      <c r="DF1082">
        <v>0</v>
      </c>
      <c r="DG1082">
        <v>0</v>
      </c>
      <c r="DH1082">
        <v>0</v>
      </c>
      <c r="DI1082">
        <v>0</v>
      </c>
    </row>
    <row r="1083" spans="1:113" x14ac:dyDescent="0.3">
      <c r="A1083" t="str">
        <f>"09/28/2021 13:59:31.902"</f>
        <v>09/28/2021 13:59:31.902</v>
      </c>
      <c r="C1083" t="str">
        <f t="shared" si="53"/>
        <v>FFDFD3C0</v>
      </c>
      <c r="D1083" t="s">
        <v>113</v>
      </c>
      <c r="E1083">
        <v>7</v>
      </c>
      <c r="H1083">
        <v>170</v>
      </c>
      <c r="I1083" t="s">
        <v>114</v>
      </c>
      <c r="J1083" t="s">
        <v>115</v>
      </c>
      <c r="K1083">
        <v>0</v>
      </c>
      <c r="L1083">
        <v>3</v>
      </c>
      <c r="M1083">
        <v>0</v>
      </c>
      <c r="N1083">
        <v>2</v>
      </c>
      <c r="O1083">
        <v>1</v>
      </c>
      <c r="P1083">
        <v>0</v>
      </c>
      <c r="Q1083">
        <v>0</v>
      </c>
      <c r="S1083" t="str">
        <f>"13:59:31.695"</f>
        <v>13:59:31.695</v>
      </c>
      <c r="T1083" t="str">
        <f>"13:59:31.295"</f>
        <v>13:59:31.295</v>
      </c>
      <c r="U1083" t="str">
        <f t="shared" si="52"/>
        <v>A92BC1</v>
      </c>
      <c r="V1083">
        <v>0</v>
      </c>
      <c r="W1083">
        <v>0</v>
      </c>
      <c r="X1083">
        <v>2</v>
      </c>
      <c r="Z1083">
        <v>0</v>
      </c>
      <c r="AA1083">
        <v>9</v>
      </c>
      <c r="AB1083">
        <v>3</v>
      </c>
      <c r="AC1083">
        <v>0</v>
      </c>
      <c r="AD1083">
        <v>10</v>
      </c>
      <c r="AE1083">
        <v>0</v>
      </c>
      <c r="AF1083">
        <v>3</v>
      </c>
      <c r="AG1083">
        <v>2</v>
      </c>
      <c r="AH1083">
        <v>0</v>
      </c>
      <c r="AI1083" t="s">
        <v>1184</v>
      </c>
      <c r="AJ1083">
        <v>45.902316999999996</v>
      </c>
      <c r="AK1083" t="s">
        <v>1185</v>
      </c>
      <c r="AL1083">
        <v>-89.077147999999994</v>
      </c>
      <c r="AM1083">
        <v>100</v>
      </c>
      <c r="AN1083">
        <v>15600</v>
      </c>
      <c r="AO1083" t="s">
        <v>118</v>
      </c>
      <c r="AP1083">
        <v>128</v>
      </c>
      <c r="AQ1083">
        <v>104</v>
      </c>
      <c r="AR1083">
        <v>-64</v>
      </c>
      <c r="AZ1083">
        <v>1200</v>
      </c>
      <c r="BA1083">
        <v>1</v>
      </c>
      <c r="BB1083" t="str">
        <f t="shared" si="54"/>
        <v xml:space="preserve">N690LS  </v>
      </c>
      <c r="BC1083">
        <v>1</v>
      </c>
      <c r="BE1083">
        <v>0</v>
      </c>
      <c r="BF1083">
        <v>0</v>
      </c>
      <c r="BG1083">
        <v>0</v>
      </c>
      <c r="BH1083">
        <v>16100</v>
      </c>
      <c r="BI1083">
        <v>1</v>
      </c>
      <c r="BJ1083">
        <v>1</v>
      </c>
      <c r="BK1083">
        <v>1</v>
      </c>
      <c r="BL1083">
        <v>0</v>
      </c>
      <c r="BO1083">
        <v>0</v>
      </c>
      <c r="BP1083">
        <v>0</v>
      </c>
      <c r="BW1083" t="str">
        <f>"13:59:31.700"</f>
        <v>13:59:31.700</v>
      </c>
      <c r="CJ1083">
        <v>0</v>
      </c>
      <c r="CK1083">
        <v>2</v>
      </c>
      <c r="CL1083">
        <v>0</v>
      </c>
      <c r="CM1083">
        <v>2</v>
      </c>
      <c r="CN1083">
        <v>0</v>
      </c>
      <c r="CO1083">
        <v>7</v>
      </c>
      <c r="CP1083" t="s">
        <v>119</v>
      </c>
      <c r="CQ1083">
        <v>209</v>
      </c>
      <c r="CR1083">
        <v>3</v>
      </c>
      <c r="CW1083">
        <v>7279884</v>
      </c>
      <c r="CY1083">
        <v>1</v>
      </c>
      <c r="CZ1083">
        <v>0</v>
      </c>
      <c r="DA1083">
        <v>0</v>
      </c>
      <c r="DB1083">
        <v>0</v>
      </c>
      <c r="DC1083">
        <v>0</v>
      </c>
      <c r="DD1083">
        <v>1</v>
      </c>
      <c r="DE1083">
        <v>0</v>
      </c>
      <c r="DF1083">
        <v>0</v>
      </c>
      <c r="DG1083">
        <v>0</v>
      </c>
      <c r="DH1083">
        <v>0</v>
      </c>
      <c r="DI1083">
        <v>0</v>
      </c>
    </row>
    <row r="1084" spans="1:113" x14ac:dyDescent="0.3">
      <c r="A1084" t="str">
        <f>"09/28/2021 13:59:31.902"</f>
        <v>09/28/2021 13:59:31.902</v>
      </c>
      <c r="C1084" t="str">
        <f t="shared" si="53"/>
        <v>FFDFD3C0</v>
      </c>
      <c r="D1084" t="s">
        <v>120</v>
      </c>
      <c r="E1084">
        <v>12</v>
      </c>
      <c r="F1084">
        <v>1012</v>
      </c>
      <c r="G1084" t="s">
        <v>114</v>
      </c>
      <c r="J1084" t="s">
        <v>121</v>
      </c>
      <c r="K1084">
        <v>0</v>
      </c>
      <c r="L1084">
        <v>3</v>
      </c>
      <c r="M1084">
        <v>0</v>
      </c>
      <c r="N1084">
        <v>2</v>
      </c>
      <c r="O1084">
        <v>1</v>
      </c>
      <c r="P1084">
        <v>0</v>
      </c>
      <c r="Q1084">
        <v>0</v>
      </c>
      <c r="S1084" t="str">
        <f>"13:59:31.695"</f>
        <v>13:59:31.695</v>
      </c>
      <c r="T1084" t="str">
        <f>"13:59:31.295"</f>
        <v>13:59:31.295</v>
      </c>
      <c r="U1084" t="str">
        <f t="shared" si="52"/>
        <v>A92BC1</v>
      </c>
      <c r="V1084">
        <v>0</v>
      </c>
      <c r="W1084">
        <v>0</v>
      </c>
      <c r="X1084">
        <v>2</v>
      </c>
      <c r="Z1084">
        <v>0</v>
      </c>
      <c r="AA1084">
        <v>9</v>
      </c>
      <c r="AB1084">
        <v>3</v>
      </c>
      <c r="AC1084">
        <v>0</v>
      </c>
      <c r="AD1084">
        <v>10</v>
      </c>
      <c r="AE1084">
        <v>0</v>
      </c>
      <c r="AF1084">
        <v>3</v>
      </c>
      <c r="AG1084">
        <v>2</v>
      </c>
      <c r="AH1084">
        <v>0</v>
      </c>
      <c r="AI1084" t="s">
        <v>1184</v>
      </c>
      <c r="AJ1084">
        <v>45.902316999999996</v>
      </c>
      <c r="AK1084" t="s">
        <v>1185</v>
      </c>
      <c r="AL1084">
        <v>-89.077147999999994</v>
      </c>
      <c r="AM1084">
        <v>100</v>
      </c>
      <c r="AN1084">
        <v>15600</v>
      </c>
      <c r="AO1084" t="s">
        <v>118</v>
      </c>
      <c r="AP1084">
        <v>128</v>
      </c>
      <c r="AQ1084">
        <v>104</v>
      </c>
      <c r="AR1084">
        <v>-64</v>
      </c>
      <c r="AZ1084">
        <v>1200</v>
      </c>
      <c r="BA1084">
        <v>1</v>
      </c>
      <c r="BB1084" t="str">
        <f t="shared" si="54"/>
        <v xml:space="preserve">N690LS  </v>
      </c>
      <c r="BC1084">
        <v>1</v>
      </c>
      <c r="BE1084">
        <v>0</v>
      </c>
      <c r="BF1084">
        <v>0</v>
      </c>
      <c r="BG1084">
        <v>0</v>
      </c>
      <c r="BH1084">
        <v>16100</v>
      </c>
      <c r="BI1084">
        <v>1</v>
      </c>
      <c r="BJ1084">
        <v>1</v>
      </c>
      <c r="BK1084">
        <v>1</v>
      </c>
      <c r="BL1084">
        <v>0</v>
      </c>
      <c r="BO1084">
        <v>0</v>
      </c>
      <c r="BP1084">
        <v>0</v>
      </c>
      <c r="BW1084" t="str">
        <f>"13:59:31.700"</f>
        <v>13:59:31.700</v>
      </c>
      <c r="CJ1084">
        <v>0</v>
      </c>
      <c r="CK1084">
        <v>2</v>
      </c>
      <c r="CL1084">
        <v>0</v>
      </c>
      <c r="CM1084">
        <v>2</v>
      </c>
      <c r="CN1084">
        <v>0</v>
      </c>
      <c r="CO1084">
        <v>7</v>
      </c>
      <c r="CP1084" t="s">
        <v>119</v>
      </c>
      <c r="CQ1084">
        <v>209</v>
      </c>
      <c r="CR1084">
        <v>3</v>
      </c>
      <c r="CW1084">
        <v>7279884</v>
      </c>
      <c r="CY1084">
        <v>1</v>
      </c>
      <c r="CZ1084">
        <v>0</v>
      </c>
      <c r="DA1084">
        <v>1</v>
      </c>
      <c r="DB1084">
        <v>0</v>
      </c>
      <c r="DC1084">
        <v>0</v>
      </c>
      <c r="DD1084">
        <v>1</v>
      </c>
      <c r="DE1084">
        <v>0</v>
      </c>
      <c r="DF1084">
        <v>0</v>
      </c>
      <c r="DG1084">
        <v>0</v>
      </c>
      <c r="DH1084">
        <v>0</v>
      </c>
      <c r="DI1084">
        <v>0</v>
      </c>
    </row>
    <row r="1085" spans="1:113" x14ac:dyDescent="0.3">
      <c r="A1085" t="str">
        <f>"09/28/2021 13:59:32.871"</f>
        <v>09/28/2021 13:59:32.871</v>
      </c>
      <c r="C1085" t="str">
        <f t="shared" si="53"/>
        <v>FFDFD3C0</v>
      </c>
      <c r="D1085" t="s">
        <v>120</v>
      </c>
      <c r="E1085">
        <v>12</v>
      </c>
      <c r="F1085">
        <v>1012</v>
      </c>
      <c r="G1085" t="s">
        <v>114</v>
      </c>
      <c r="J1085" t="s">
        <v>121</v>
      </c>
      <c r="K1085">
        <v>0</v>
      </c>
      <c r="L1085">
        <v>3</v>
      </c>
      <c r="M1085">
        <v>0</v>
      </c>
      <c r="N1085">
        <v>2</v>
      </c>
      <c r="O1085">
        <v>1</v>
      </c>
      <c r="P1085">
        <v>0</v>
      </c>
      <c r="Q1085">
        <v>0</v>
      </c>
      <c r="S1085" t="str">
        <f>"13:59:32.656"</f>
        <v>13:59:32.656</v>
      </c>
      <c r="T1085" t="str">
        <f>"13:59:32.256"</f>
        <v>13:59:32.256</v>
      </c>
      <c r="U1085" t="str">
        <f t="shared" si="52"/>
        <v>A92BC1</v>
      </c>
      <c r="V1085">
        <v>0</v>
      </c>
      <c r="W1085">
        <v>0</v>
      </c>
      <c r="X1085">
        <v>2</v>
      </c>
      <c r="Z1085">
        <v>0</v>
      </c>
      <c r="AA1085">
        <v>9</v>
      </c>
      <c r="AB1085">
        <v>3</v>
      </c>
      <c r="AC1085">
        <v>0</v>
      </c>
      <c r="AD1085">
        <v>10</v>
      </c>
      <c r="AE1085">
        <v>0</v>
      </c>
      <c r="AF1085">
        <v>3</v>
      </c>
      <c r="AG1085">
        <v>2</v>
      </c>
      <c r="AH1085">
        <v>0</v>
      </c>
      <c r="AI1085" t="s">
        <v>1186</v>
      </c>
      <c r="AJ1085">
        <v>45.902788999999999</v>
      </c>
      <c r="AK1085" t="s">
        <v>1187</v>
      </c>
      <c r="AL1085">
        <v>-89.076246999999995</v>
      </c>
      <c r="AM1085">
        <v>100</v>
      </c>
      <c r="AN1085">
        <v>15600</v>
      </c>
      <c r="AO1085" t="s">
        <v>118</v>
      </c>
      <c r="AP1085">
        <v>127</v>
      </c>
      <c r="AQ1085">
        <v>103</v>
      </c>
      <c r="AR1085">
        <v>-64</v>
      </c>
      <c r="AZ1085">
        <v>1200</v>
      </c>
      <c r="BA1085">
        <v>1</v>
      </c>
      <c r="BB1085" t="str">
        <f t="shared" si="54"/>
        <v xml:space="preserve">N690LS  </v>
      </c>
      <c r="BC1085">
        <v>1</v>
      </c>
      <c r="BE1085">
        <v>0</v>
      </c>
      <c r="BF1085">
        <v>0</v>
      </c>
      <c r="BG1085">
        <v>0</v>
      </c>
      <c r="BH1085">
        <v>16100</v>
      </c>
      <c r="BI1085">
        <v>1</v>
      </c>
      <c r="BJ1085">
        <v>1</v>
      </c>
      <c r="BK1085">
        <v>1</v>
      </c>
      <c r="BL1085">
        <v>0</v>
      </c>
      <c r="BO1085">
        <v>0</v>
      </c>
      <c r="BP1085">
        <v>0</v>
      </c>
      <c r="BW1085" t="str">
        <f>"13:59:32.663"</f>
        <v>13:59:32.663</v>
      </c>
      <c r="CJ1085">
        <v>0</v>
      </c>
      <c r="CK1085">
        <v>2</v>
      </c>
      <c r="CL1085">
        <v>0</v>
      </c>
      <c r="CM1085">
        <v>2</v>
      </c>
      <c r="CN1085">
        <v>0</v>
      </c>
      <c r="CO1085">
        <v>7</v>
      </c>
      <c r="CP1085" t="s">
        <v>119</v>
      </c>
      <c r="CQ1085">
        <v>209</v>
      </c>
      <c r="CR1085">
        <v>3</v>
      </c>
      <c r="CW1085">
        <v>7280271</v>
      </c>
      <c r="CY1085">
        <v>1</v>
      </c>
      <c r="CZ1085">
        <v>0</v>
      </c>
      <c r="DA1085">
        <v>0</v>
      </c>
      <c r="DB1085">
        <v>0</v>
      </c>
      <c r="DC1085">
        <v>0</v>
      </c>
      <c r="DD1085">
        <v>1</v>
      </c>
      <c r="DE1085">
        <v>0</v>
      </c>
      <c r="DF1085">
        <v>0</v>
      </c>
      <c r="DG1085">
        <v>0</v>
      </c>
      <c r="DH1085">
        <v>0</v>
      </c>
      <c r="DI1085">
        <v>0</v>
      </c>
    </row>
    <row r="1086" spans="1:113" x14ac:dyDescent="0.3">
      <c r="A1086" t="str">
        <f>"09/28/2021 13:59:32.902"</f>
        <v>09/28/2021 13:59:32.902</v>
      </c>
      <c r="C1086" t="str">
        <f t="shared" si="53"/>
        <v>FFDFD3C0</v>
      </c>
      <c r="D1086" t="s">
        <v>113</v>
      </c>
      <c r="E1086">
        <v>7</v>
      </c>
      <c r="H1086">
        <v>170</v>
      </c>
      <c r="I1086" t="s">
        <v>114</v>
      </c>
      <c r="J1086" t="s">
        <v>115</v>
      </c>
      <c r="K1086">
        <v>0</v>
      </c>
      <c r="L1086">
        <v>3</v>
      </c>
      <c r="M1086">
        <v>0</v>
      </c>
      <c r="N1086">
        <v>2</v>
      </c>
      <c r="O1086">
        <v>1</v>
      </c>
      <c r="P1086">
        <v>0</v>
      </c>
      <c r="Q1086">
        <v>0</v>
      </c>
      <c r="S1086" t="str">
        <f>"13:59:32.656"</f>
        <v>13:59:32.656</v>
      </c>
      <c r="T1086" t="str">
        <f>"13:59:32.256"</f>
        <v>13:59:32.256</v>
      </c>
      <c r="U1086" t="str">
        <f t="shared" si="52"/>
        <v>A92BC1</v>
      </c>
      <c r="V1086">
        <v>0</v>
      </c>
      <c r="W1086">
        <v>0</v>
      </c>
      <c r="X1086">
        <v>2</v>
      </c>
      <c r="Z1086">
        <v>0</v>
      </c>
      <c r="AA1086">
        <v>9</v>
      </c>
      <c r="AB1086">
        <v>3</v>
      </c>
      <c r="AC1086">
        <v>0</v>
      </c>
      <c r="AD1086">
        <v>10</v>
      </c>
      <c r="AE1086">
        <v>0</v>
      </c>
      <c r="AF1086">
        <v>3</v>
      </c>
      <c r="AG1086">
        <v>2</v>
      </c>
      <c r="AH1086">
        <v>0</v>
      </c>
      <c r="AI1086" t="s">
        <v>1186</v>
      </c>
      <c r="AJ1086">
        <v>45.902788999999999</v>
      </c>
      <c r="AK1086" t="s">
        <v>1187</v>
      </c>
      <c r="AL1086">
        <v>-89.076246999999995</v>
      </c>
      <c r="AM1086">
        <v>100</v>
      </c>
      <c r="AN1086">
        <v>15600</v>
      </c>
      <c r="AO1086" t="s">
        <v>118</v>
      </c>
      <c r="AP1086">
        <v>127</v>
      </c>
      <c r="AQ1086">
        <v>103</v>
      </c>
      <c r="AR1086">
        <v>-64</v>
      </c>
      <c r="AZ1086">
        <v>1200</v>
      </c>
      <c r="BA1086">
        <v>1</v>
      </c>
      <c r="BB1086" t="str">
        <f t="shared" si="54"/>
        <v xml:space="preserve">N690LS  </v>
      </c>
      <c r="BC1086">
        <v>1</v>
      </c>
      <c r="BE1086">
        <v>0</v>
      </c>
      <c r="BF1086">
        <v>0</v>
      </c>
      <c r="BG1086">
        <v>0</v>
      </c>
      <c r="BH1086">
        <v>16100</v>
      </c>
      <c r="BI1086">
        <v>1</v>
      </c>
      <c r="BJ1086">
        <v>1</v>
      </c>
      <c r="BK1086">
        <v>1</v>
      </c>
      <c r="BL1086">
        <v>0</v>
      </c>
      <c r="BO1086">
        <v>0</v>
      </c>
      <c r="BP1086">
        <v>0</v>
      </c>
      <c r="BW1086" t="str">
        <f>"13:59:32.663"</f>
        <v>13:59:32.663</v>
      </c>
      <c r="CJ1086">
        <v>0</v>
      </c>
      <c r="CK1086">
        <v>2</v>
      </c>
      <c r="CL1086">
        <v>0</v>
      </c>
      <c r="CM1086">
        <v>2</v>
      </c>
      <c r="CN1086">
        <v>0</v>
      </c>
      <c r="CO1086">
        <v>7</v>
      </c>
      <c r="CP1086" t="s">
        <v>119</v>
      </c>
      <c r="CQ1086">
        <v>209</v>
      </c>
      <c r="CR1086">
        <v>3</v>
      </c>
      <c r="CW1086">
        <v>7280271</v>
      </c>
      <c r="CY1086">
        <v>1</v>
      </c>
      <c r="CZ1086">
        <v>0</v>
      </c>
      <c r="DA1086">
        <v>1</v>
      </c>
      <c r="DB1086">
        <v>0</v>
      </c>
      <c r="DC1086">
        <v>0</v>
      </c>
      <c r="DD1086">
        <v>1</v>
      </c>
      <c r="DE1086">
        <v>0</v>
      </c>
      <c r="DF1086">
        <v>0</v>
      </c>
      <c r="DG1086">
        <v>0</v>
      </c>
      <c r="DH1086">
        <v>0</v>
      </c>
      <c r="DI1086">
        <v>0</v>
      </c>
    </row>
    <row r="1087" spans="1:113" x14ac:dyDescent="0.3">
      <c r="A1087" t="str">
        <f>"09/28/2021 13:59:33.980"</f>
        <v>09/28/2021 13:59:33.980</v>
      </c>
      <c r="C1087" t="str">
        <f t="shared" si="53"/>
        <v>FFDFD3C0</v>
      </c>
      <c r="D1087" t="s">
        <v>120</v>
      </c>
      <c r="E1087">
        <v>12</v>
      </c>
      <c r="F1087">
        <v>1012</v>
      </c>
      <c r="G1087" t="s">
        <v>114</v>
      </c>
      <c r="J1087" t="s">
        <v>121</v>
      </c>
      <c r="K1087">
        <v>0</v>
      </c>
      <c r="L1087">
        <v>3</v>
      </c>
      <c r="M1087">
        <v>0</v>
      </c>
      <c r="N1087">
        <v>2</v>
      </c>
      <c r="O1087">
        <v>1</v>
      </c>
      <c r="P1087">
        <v>0</v>
      </c>
      <c r="Q1087">
        <v>0</v>
      </c>
      <c r="S1087" t="str">
        <f>"13:59:33.758"</f>
        <v>13:59:33.758</v>
      </c>
      <c r="T1087" t="str">
        <f>"13:59:33.258"</f>
        <v>13:59:33.258</v>
      </c>
      <c r="U1087" t="str">
        <f t="shared" si="52"/>
        <v>A92BC1</v>
      </c>
      <c r="V1087">
        <v>0</v>
      </c>
      <c r="W1087">
        <v>0</v>
      </c>
      <c r="X1087">
        <v>2</v>
      </c>
      <c r="Z1087">
        <v>0</v>
      </c>
      <c r="AA1087">
        <v>9</v>
      </c>
      <c r="AB1087">
        <v>3</v>
      </c>
      <c r="AC1087">
        <v>0</v>
      </c>
      <c r="AD1087">
        <v>10</v>
      </c>
      <c r="AE1087">
        <v>0</v>
      </c>
      <c r="AF1087">
        <v>3</v>
      </c>
      <c r="AG1087">
        <v>2</v>
      </c>
      <c r="AH1087">
        <v>0</v>
      </c>
      <c r="AI1087" t="s">
        <v>1188</v>
      </c>
      <c r="AJ1087">
        <v>45.903303999999999</v>
      </c>
      <c r="AK1087" t="s">
        <v>1189</v>
      </c>
      <c r="AL1087">
        <v>-89.075345999999996</v>
      </c>
      <c r="AM1087">
        <v>100</v>
      </c>
      <c r="AN1087">
        <v>15600</v>
      </c>
      <c r="AO1087" t="s">
        <v>118</v>
      </c>
      <c r="AP1087">
        <v>126</v>
      </c>
      <c r="AQ1087">
        <v>102</v>
      </c>
      <c r="AR1087">
        <v>-64</v>
      </c>
      <c r="AZ1087">
        <v>1200</v>
      </c>
      <c r="BA1087">
        <v>1</v>
      </c>
      <c r="BB1087" t="str">
        <f t="shared" si="54"/>
        <v xml:space="preserve">N690LS  </v>
      </c>
      <c r="BC1087">
        <v>1</v>
      </c>
      <c r="BE1087">
        <v>0</v>
      </c>
      <c r="BF1087">
        <v>0</v>
      </c>
      <c r="BG1087">
        <v>0</v>
      </c>
      <c r="BH1087">
        <v>16100</v>
      </c>
      <c r="BI1087">
        <v>1</v>
      </c>
      <c r="BJ1087">
        <v>1</v>
      </c>
      <c r="BK1087">
        <v>1</v>
      </c>
      <c r="BL1087">
        <v>0</v>
      </c>
      <c r="BO1087">
        <v>0</v>
      </c>
      <c r="BP1087">
        <v>0</v>
      </c>
      <c r="BW1087" t="str">
        <f>"13:59:33.766"</f>
        <v>13:59:33.766</v>
      </c>
      <c r="CJ1087">
        <v>0</v>
      </c>
      <c r="CK1087">
        <v>2</v>
      </c>
      <c r="CL1087">
        <v>0</v>
      </c>
      <c r="CM1087">
        <v>2</v>
      </c>
      <c r="CN1087">
        <v>0</v>
      </c>
      <c r="CO1087">
        <v>7</v>
      </c>
      <c r="CP1087" t="s">
        <v>119</v>
      </c>
      <c r="CQ1087">
        <v>209</v>
      </c>
      <c r="CR1087">
        <v>3</v>
      </c>
      <c r="CW1087">
        <v>7280709</v>
      </c>
      <c r="CY1087">
        <v>1</v>
      </c>
      <c r="CZ1087">
        <v>0</v>
      </c>
      <c r="DA1087">
        <v>0</v>
      </c>
      <c r="DB1087">
        <v>0</v>
      </c>
      <c r="DC1087">
        <v>0</v>
      </c>
      <c r="DD1087">
        <v>1</v>
      </c>
      <c r="DE1087">
        <v>0</v>
      </c>
      <c r="DF1087">
        <v>0</v>
      </c>
      <c r="DG1087">
        <v>0</v>
      </c>
      <c r="DH1087">
        <v>0</v>
      </c>
      <c r="DI1087">
        <v>0</v>
      </c>
    </row>
    <row r="1088" spans="1:113" x14ac:dyDescent="0.3">
      <c r="A1088" t="str">
        <f>"09/28/2021 13:59:34.074"</f>
        <v>09/28/2021 13:59:34.074</v>
      </c>
      <c r="C1088" t="str">
        <f t="shared" si="53"/>
        <v>FFDFD3C0</v>
      </c>
      <c r="D1088" t="s">
        <v>113</v>
      </c>
      <c r="E1088">
        <v>7</v>
      </c>
      <c r="H1088">
        <v>170</v>
      </c>
      <c r="I1088" t="s">
        <v>114</v>
      </c>
      <c r="J1088" t="s">
        <v>115</v>
      </c>
      <c r="K1088">
        <v>0</v>
      </c>
      <c r="L1088">
        <v>3</v>
      </c>
      <c r="M1088">
        <v>0</v>
      </c>
      <c r="N1088">
        <v>2</v>
      </c>
      <c r="O1088">
        <v>1</v>
      </c>
      <c r="P1088">
        <v>0</v>
      </c>
      <c r="Q1088">
        <v>0</v>
      </c>
      <c r="S1088" t="str">
        <f>"13:59:33.758"</f>
        <v>13:59:33.758</v>
      </c>
      <c r="T1088" t="str">
        <f>"13:59:33.258"</f>
        <v>13:59:33.258</v>
      </c>
      <c r="U1088" t="str">
        <f t="shared" si="52"/>
        <v>A92BC1</v>
      </c>
      <c r="V1088">
        <v>0</v>
      </c>
      <c r="W1088">
        <v>0</v>
      </c>
      <c r="X1088">
        <v>2</v>
      </c>
      <c r="Z1088">
        <v>0</v>
      </c>
      <c r="AA1088">
        <v>9</v>
      </c>
      <c r="AB1088">
        <v>3</v>
      </c>
      <c r="AC1088">
        <v>0</v>
      </c>
      <c r="AD1088">
        <v>10</v>
      </c>
      <c r="AE1088">
        <v>0</v>
      </c>
      <c r="AF1088">
        <v>3</v>
      </c>
      <c r="AG1088">
        <v>2</v>
      </c>
      <c r="AH1088">
        <v>0</v>
      </c>
      <c r="AI1088" t="s">
        <v>1188</v>
      </c>
      <c r="AJ1088">
        <v>45.903303999999999</v>
      </c>
      <c r="AK1088" t="s">
        <v>1189</v>
      </c>
      <c r="AL1088">
        <v>-89.075345999999996</v>
      </c>
      <c r="AM1088">
        <v>100</v>
      </c>
      <c r="AN1088">
        <v>15600</v>
      </c>
      <c r="AO1088" t="s">
        <v>118</v>
      </c>
      <c r="AP1088">
        <v>126</v>
      </c>
      <c r="AQ1088">
        <v>102</v>
      </c>
      <c r="AR1088">
        <v>-64</v>
      </c>
      <c r="AZ1088">
        <v>1200</v>
      </c>
      <c r="BA1088">
        <v>1</v>
      </c>
      <c r="BB1088" t="str">
        <f t="shared" si="54"/>
        <v xml:space="preserve">N690LS  </v>
      </c>
      <c r="BC1088">
        <v>1</v>
      </c>
      <c r="BE1088">
        <v>0</v>
      </c>
      <c r="BF1088">
        <v>0</v>
      </c>
      <c r="BG1088">
        <v>0</v>
      </c>
      <c r="BH1088">
        <v>16100</v>
      </c>
      <c r="BI1088">
        <v>1</v>
      </c>
      <c r="BJ1088">
        <v>1</v>
      </c>
      <c r="BK1088">
        <v>1</v>
      </c>
      <c r="BL1088">
        <v>0</v>
      </c>
      <c r="BO1088">
        <v>0</v>
      </c>
      <c r="BP1088">
        <v>0</v>
      </c>
      <c r="BW1088" t="str">
        <f>"13:59:33.766"</f>
        <v>13:59:33.766</v>
      </c>
      <c r="CJ1088">
        <v>0</v>
      </c>
      <c r="CK1088">
        <v>2</v>
      </c>
      <c r="CL1088">
        <v>0</v>
      </c>
      <c r="CM1088">
        <v>2</v>
      </c>
      <c r="CN1088">
        <v>0</v>
      </c>
      <c r="CO1088">
        <v>7</v>
      </c>
      <c r="CP1088" t="s">
        <v>119</v>
      </c>
      <c r="CQ1088">
        <v>209</v>
      </c>
      <c r="CR1088">
        <v>3</v>
      </c>
      <c r="CW1088">
        <v>7280709</v>
      </c>
      <c r="CY1088">
        <v>1</v>
      </c>
      <c r="CZ1088">
        <v>0</v>
      </c>
      <c r="DA1088">
        <v>1</v>
      </c>
      <c r="DB1088">
        <v>0</v>
      </c>
      <c r="DC1088">
        <v>0</v>
      </c>
      <c r="DD1088">
        <v>1</v>
      </c>
      <c r="DE1088">
        <v>0</v>
      </c>
      <c r="DF1088">
        <v>0</v>
      </c>
      <c r="DG1088">
        <v>0</v>
      </c>
      <c r="DH1088">
        <v>0</v>
      </c>
      <c r="DI1088">
        <v>0</v>
      </c>
    </row>
    <row r="1089" spans="1:113" x14ac:dyDescent="0.3">
      <c r="A1089" t="str">
        <f>"09/28/2021 13:59:34.888"</f>
        <v>09/28/2021 13:59:34.888</v>
      </c>
      <c r="C1089" t="str">
        <f t="shared" si="53"/>
        <v>FFDFD3C0</v>
      </c>
      <c r="D1089" t="s">
        <v>120</v>
      </c>
      <c r="E1089">
        <v>12</v>
      </c>
      <c r="F1089">
        <v>1012</v>
      </c>
      <c r="G1089" t="s">
        <v>114</v>
      </c>
      <c r="J1089" t="s">
        <v>121</v>
      </c>
      <c r="K1089">
        <v>0</v>
      </c>
      <c r="L1089">
        <v>3</v>
      </c>
      <c r="M1089">
        <v>0</v>
      </c>
      <c r="N1089">
        <v>2</v>
      </c>
      <c r="O1089">
        <v>1</v>
      </c>
      <c r="P1089">
        <v>0</v>
      </c>
      <c r="Q1089">
        <v>0</v>
      </c>
      <c r="S1089" t="str">
        <f>"13:59:34.641"</f>
        <v>13:59:34.641</v>
      </c>
      <c r="T1089" t="str">
        <f>"13:59:34.241"</f>
        <v>13:59:34.241</v>
      </c>
      <c r="U1089" t="str">
        <f t="shared" si="52"/>
        <v>A92BC1</v>
      </c>
      <c r="V1089">
        <v>0</v>
      </c>
      <c r="W1089">
        <v>0</v>
      </c>
      <c r="X1089">
        <v>2</v>
      </c>
      <c r="Z1089">
        <v>0</v>
      </c>
      <c r="AA1089">
        <v>9</v>
      </c>
      <c r="AB1089">
        <v>3</v>
      </c>
      <c r="AC1089">
        <v>0</v>
      </c>
      <c r="AD1089">
        <v>10</v>
      </c>
      <c r="AE1089">
        <v>0</v>
      </c>
      <c r="AF1089">
        <v>3</v>
      </c>
      <c r="AG1089">
        <v>2</v>
      </c>
      <c r="AH1089">
        <v>0</v>
      </c>
      <c r="AI1089" t="s">
        <v>1190</v>
      </c>
      <c r="AJ1089">
        <v>45.903711000000001</v>
      </c>
      <c r="AK1089" t="s">
        <v>1191</v>
      </c>
      <c r="AL1089">
        <v>-89.074616000000006</v>
      </c>
      <c r="AM1089">
        <v>100</v>
      </c>
      <c r="AN1089">
        <v>15600</v>
      </c>
      <c r="AO1089" t="s">
        <v>118</v>
      </c>
      <c r="AP1089">
        <v>125</v>
      </c>
      <c r="AQ1089">
        <v>102</v>
      </c>
      <c r="AR1089">
        <v>-64</v>
      </c>
      <c r="AZ1089">
        <v>1200</v>
      </c>
      <c r="BA1089">
        <v>1</v>
      </c>
      <c r="BB1089" t="str">
        <f t="shared" si="54"/>
        <v xml:space="preserve">N690LS  </v>
      </c>
      <c r="BC1089">
        <v>1</v>
      </c>
      <c r="BE1089">
        <v>0</v>
      </c>
      <c r="BF1089">
        <v>0</v>
      </c>
      <c r="BG1089">
        <v>0</v>
      </c>
      <c r="BH1089">
        <v>16100</v>
      </c>
      <c r="BI1089">
        <v>1</v>
      </c>
      <c r="BJ1089">
        <v>1</v>
      </c>
      <c r="BK1089">
        <v>1</v>
      </c>
      <c r="BL1089">
        <v>0</v>
      </c>
      <c r="BO1089">
        <v>0</v>
      </c>
      <c r="BP1089">
        <v>0</v>
      </c>
      <c r="BW1089" t="str">
        <f>"13:59:34.647"</f>
        <v>13:59:34.647</v>
      </c>
      <c r="CJ1089">
        <v>0</v>
      </c>
      <c r="CK1089">
        <v>2</v>
      </c>
      <c r="CL1089">
        <v>0</v>
      </c>
      <c r="CM1089">
        <v>2</v>
      </c>
      <c r="CN1089">
        <v>0</v>
      </c>
      <c r="CO1089">
        <v>7</v>
      </c>
      <c r="CP1089" t="s">
        <v>119</v>
      </c>
      <c r="CQ1089">
        <v>209</v>
      </c>
      <c r="CR1089">
        <v>3</v>
      </c>
      <c r="CW1089">
        <v>7281070</v>
      </c>
      <c r="CY1089">
        <v>1</v>
      </c>
      <c r="CZ1089">
        <v>0</v>
      </c>
      <c r="DA1089">
        <v>0</v>
      </c>
      <c r="DB1089">
        <v>0</v>
      </c>
      <c r="DC1089">
        <v>0</v>
      </c>
      <c r="DD1089">
        <v>1</v>
      </c>
      <c r="DE1089">
        <v>0</v>
      </c>
      <c r="DF1089">
        <v>0</v>
      </c>
      <c r="DG1089">
        <v>0</v>
      </c>
      <c r="DH1089">
        <v>0</v>
      </c>
      <c r="DI1089">
        <v>0</v>
      </c>
    </row>
    <row r="1090" spans="1:113" x14ac:dyDescent="0.3">
      <c r="A1090" t="str">
        <f>"09/28/2021 13:59:34.903"</f>
        <v>09/28/2021 13:59:34.903</v>
      </c>
      <c r="C1090" t="str">
        <f t="shared" si="53"/>
        <v>FFDFD3C0</v>
      </c>
      <c r="D1090" t="s">
        <v>113</v>
      </c>
      <c r="E1090">
        <v>7</v>
      </c>
      <c r="H1090">
        <v>170</v>
      </c>
      <c r="I1090" t="s">
        <v>114</v>
      </c>
      <c r="J1090" t="s">
        <v>115</v>
      </c>
      <c r="K1090">
        <v>0</v>
      </c>
      <c r="L1090">
        <v>3</v>
      </c>
      <c r="M1090">
        <v>0</v>
      </c>
      <c r="N1090">
        <v>2</v>
      </c>
      <c r="O1090">
        <v>1</v>
      </c>
      <c r="P1090">
        <v>0</v>
      </c>
      <c r="Q1090">
        <v>0</v>
      </c>
      <c r="S1090" t="str">
        <f>"13:59:34.641"</f>
        <v>13:59:34.641</v>
      </c>
      <c r="T1090" t="str">
        <f>"13:59:34.241"</f>
        <v>13:59:34.241</v>
      </c>
      <c r="U1090" t="str">
        <f t="shared" ref="U1090:U1153" si="55">"A92BC1"</f>
        <v>A92BC1</v>
      </c>
      <c r="V1090">
        <v>0</v>
      </c>
      <c r="W1090">
        <v>0</v>
      </c>
      <c r="X1090">
        <v>2</v>
      </c>
      <c r="Z1090">
        <v>0</v>
      </c>
      <c r="AA1090">
        <v>9</v>
      </c>
      <c r="AB1090">
        <v>3</v>
      </c>
      <c r="AC1090">
        <v>0</v>
      </c>
      <c r="AD1090">
        <v>10</v>
      </c>
      <c r="AE1090">
        <v>0</v>
      </c>
      <c r="AF1090">
        <v>3</v>
      </c>
      <c r="AG1090">
        <v>2</v>
      </c>
      <c r="AH1090">
        <v>0</v>
      </c>
      <c r="AI1090" t="s">
        <v>1190</v>
      </c>
      <c r="AJ1090">
        <v>45.903711000000001</v>
      </c>
      <c r="AK1090" t="s">
        <v>1191</v>
      </c>
      <c r="AL1090">
        <v>-89.074616000000006</v>
      </c>
      <c r="AM1090">
        <v>100</v>
      </c>
      <c r="AN1090">
        <v>15600</v>
      </c>
      <c r="AO1090" t="s">
        <v>118</v>
      </c>
      <c r="AP1090">
        <v>125</v>
      </c>
      <c r="AQ1090">
        <v>102</v>
      </c>
      <c r="AR1090">
        <v>-64</v>
      </c>
      <c r="AZ1090">
        <v>1200</v>
      </c>
      <c r="BA1090">
        <v>1</v>
      </c>
      <c r="BB1090" t="str">
        <f t="shared" si="54"/>
        <v xml:space="preserve">N690LS  </v>
      </c>
      <c r="BC1090">
        <v>1</v>
      </c>
      <c r="BE1090">
        <v>0</v>
      </c>
      <c r="BF1090">
        <v>0</v>
      </c>
      <c r="BG1090">
        <v>0</v>
      </c>
      <c r="BH1090">
        <v>16100</v>
      </c>
      <c r="BI1090">
        <v>1</v>
      </c>
      <c r="BJ1090">
        <v>1</v>
      </c>
      <c r="BK1090">
        <v>1</v>
      </c>
      <c r="BL1090">
        <v>0</v>
      </c>
      <c r="BO1090">
        <v>0</v>
      </c>
      <c r="BP1090">
        <v>0</v>
      </c>
      <c r="BW1090" t="str">
        <f>"13:59:34.647"</f>
        <v>13:59:34.647</v>
      </c>
      <c r="CJ1090">
        <v>0</v>
      </c>
      <c r="CK1090">
        <v>2</v>
      </c>
      <c r="CL1090">
        <v>0</v>
      </c>
      <c r="CM1090">
        <v>2</v>
      </c>
      <c r="CN1090">
        <v>0</v>
      </c>
      <c r="CO1090">
        <v>7</v>
      </c>
      <c r="CP1090" t="s">
        <v>119</v>
      </c>
      <c r="CQ1090">
        <v>209</v>
      </c>
      <c r="CR1090">
        <v>3</v>
      </c>
      <c r="CW1090">
        <v>7281070</v>
      </c>
      <c r="CY1090">
        <v>1</v>
      </c>
      <c r="CZ1090">
        <v>0</v>
      </c>
      <c r="DA1090">
        <v>1</v>
      </c>
      <c r="DB1090">
        <v>0</v>
      </c>
      <c r="DC1090">
        <v>0</v>
      </c>
      <c r="DD1090">
        <v>1</v>
      </c>
      <c r="DE1090">
        <v>0</v>
      </c>
      <c r="DF1090">
        <v>0</v>
      </c>
      <c r="DG1090">
        <v>0</v>
      </c>
      <c r="DH1090">
        <v>0</v>
      </c>
      <c r="DI1090">
        <v>0</v>
      </c>
    </row>
    <row r="1091" spans="1:113" x14ac:dyDescent="0.3">
      <c r="A1091" t="str">
        <f>"09/28/2021 13:59:35.763"</f>
        <v>09/28/2021 13:59:35.763</v>
      </c>
      <c r="C1091" t="str">
        <f t="shared" si="53"/>
        <v>FFDFD3C0</v>
      </c>
      <c r="D1091" t="s">
        <v>120</v>
      </c>
      <c r="E1091">
        <v>12</v>
      </c>
      <c r="F1091">
        <v>1012</v>
      </c>
      <c r="G1091" t="s">
        <v>114</v>
      </c>
      <c r="J1091" t="s">
        <v>121</v>
      </c>
      <c r="K1091">
        <v>0</v>
      </c>
      <c r="L1091">
        <v>3</v>
      </c>
      <c r="M1091">
        <v>0</v>
      </c>
      <c r="N1091">
        <v>2</v>
      </c>
      <c r="O1091">
        <v>1</v>
      </c>
      <c r="P1091">
        <v>0</v>
      </c>
      <c r="Q1091">
        <v>0</v>
      </c>
      <c r="S1091" t="str">
        <f>"13:59:35.547"</f>
        <v>13:59:35.547</v>
      </c>
      <c r="T1091" t="str">
        <f>"13:59:35.147"</f>
        <v>13:59:35.147</v>
      </c>
      <c r="U1091" t="str">
        <f t="shared" si="55"/>
        <v>A92BC1</v>
      </c>
      <c r="V1091">
        <v>0</v>
      </c>
      <c r="W1091">
        <v>0</v>
      </c>
      <c r="X1091">
        <v>2</v>
      </c>
      <c r="Z1091">
        <v>0</v>
      </c>
      <c r="AA1091">
        <v>9</v>
      </c>
      <c r="AB1091">
        <v>3</v>
      </c>
      <c r="AC1091">
        <v>0</v>
      </c>
      <c r="AD1091">
        <v>10</v>
      </c>
      <c r="AE1091">
        <v>0</v>
      </c>
      <c r="AF1091">
        <v>3</v>
      </c>
      <c r="AG1091">
        <v>2</v>
      </c>
      <c r="AH1091">
        <v>0</v>
      </c>
      <c r="AI1091" t="s">
        <v>1192</v>
      </c>
      <c r="AJ1091">
        <v>45.904183000000003</v>
      </c>
      <c r="AK1091" t="s">
        <v>1193</v>
      </c>
      <c r="AL1091">
        <v>-89.073864999999998</v>
      </c>
      <c r="AM1091">
        <v>100</v>
      </c>
      <c r="AN1091">
        <v>15600</v>
      </c>
      <c r="AO1091" t="s">
        <v>118</v>
      </c>
      <c r="AP1091">
        <v>124</v>
      </c>
      <c r="AQ1091">
        <v>101</v>
      </c>
      <c r="AR1091">
        <v>-128</v>
      </c>
      <c r="AZ1091">
        <v>1200</v>
      </c>
      <c r="BA1091">
        <v>1</v>
      </c>
      <c r="BB1091" t="str">
        <f t="shared" si="54"/>
        <v xml:space="preserve">N690LS  </v>
      </c>
      <c r="BC1091">
        <v>1</v>
      </c>
      <c r="BE1091">
        <v>0</v>
      </c>
      <c r="BF1091">
        <v>0</v>
      </c>
      <c r="BG1091">
        <v>0</v>
      </c>
      <c r="BH1091">
        <v>16100</v>
      </c>
      <c r="BI1091">
        <v>1</v>
      </c>
      <c r="BJ1091">
        <v>1</v>
      </c>
      <c r="BK1091">
        <v>1</v>
      </c>
      <c r="BL1091">
        <v>0</v>
      </c>
      <c r="BO1091">
        <v>0</v>
      </c>
      <c r="BP1091">
        <v>0</v>
      </c>
      <c r="BW1091" t="str">
        <f>"13:59:35.555"</f>
        <v>13:59:35.555</v>
      </c>
      <c r="CJ1091">
        <v>0</v>
      </c>
      <c r="CK1091">
        <v>2</v>
      </c>
      <c r="CL1091">
        <v>0</v>
      </c>
      <c r="CM1091">
        <v>2</v>
      </c>
      <c r="CN1091">
        <v>0</v>
      </c>
      <c r="CO1091">
        <v>7</v>
      </c>
      <c r="CP1091" t="s">
        <v>119</v>
      </c>
      <c r="CQ1091">
        <v>197</v>
      </c>
      <c r="CR1091">
        <v>0</v>
      </c>
      <c r="CW1091">
        <v>16097896</v>
      </c>
      <c r="CY1091">
        <v>1</v>
      </c>
      <c r="CZ1091">
        <v>0</v>
      </c>
      <c r="DA1091">
        <v>0</v>
      </c>
      <c r="DB1091">
        <v>0</v>
      </c>
      <c r="DC1091">
        <v>0</v>
      </c>
      <c r="DD1091">
        <v>1</v>
      </c>
      <c r="DE1091">
        <v>0</v>
      </c>
      <c r="DF1091">
        <v>0</v>
      </c>
      <c r="DG1091">
        <v>0</v>
      </c>
      <c r="DH1091">
        <v>0</v>
      </c>
      <c r="DI1091">
        <v>0</v>
      </c>
    </row>
    <row r="1092" spans="1:113" x14ac:dyDescent="0.3">
      <c r="A1092" t="str">
        <f>"09/28/2021 13:59:35.763"</f>
        <v>09/28/2021 13:59:35.763</v>
      </c>
      <c r="C1092" t="str">
        <f t="shared" si="53"/>
        <v>FFDFD3C0</v>
      </c>
      <c r="D1092" t="s">
        <v>113</v>
      </c>
      <c r="E1092">
        <v>7</v>
      </c>
      <c r="H1092">
        <v>170</v>
      </c>
      <c r="I1092" t="s">
        <v>114</v>
      </c>
      <c r="J1092" t="s">
        <v>115</v>
      </c>
      <c r="K1092">
        <v>0</v>
      </c>
      <c r="L1092">
        <v>3</v>
      </c>
      <c r="M1092">
        <v>0</v>
      </c>
      <c r="N1092">
        <v>2</v>
      </c>
      <c r="O1092">
        <v>1</v>
      </c>
      <c r="P1092">
        <v>0</v>
      </c>
      <c r="Q1092">
        <v>0</v>
      </c>
      <c r="S1092" t="str">
        <f>"13:59:35.547"</f>
        <v>13:59:35.547</v>
      </c>
      <c r="T1092" t="str">
        <f>"13:59:35.147"</f>
        <v>13:59:35.147</v>
      </c>
      <c r="U1092" t="str">
        <f t="shared" si="55"/>
        <v>A92BC1</v>
      </c>
      <c r="V1092">
        <v>0</v>
      </c>
      <c r="W1092">
        <v>0</v>
      </c>
      <c r="X1092">
        <v>2</v>
      </c>
      <c r="Z1092">
        <v>0</v>
      </c>
      <c r="AA1092">
        <v>9</v>
      </c>
      <c r="AB1092">
        <v>3</v>
      </c>
      <c r="AC1092">
        <v>0</v>
      </c>
      <c r="AD1092">
        <v>10</v>
      </c>
      <c r="AE1092">
        <v>0</v>
      </c>
      <c r="AF1092">
        <v>3</v>
      </c>
      <c r="AG1092">
        <v>2</v>
      </c>
      <c r="AH1092">
        <v>0</v>
      </c>
      <c r="AI1092" t="s">
        <v>1192</v>
      </c>
      <c r="AJ1092">
        <v>45.904183000000003</v>
      </c>
      <c r="AK1092" t="s">
        <v>1193</v>
      </c>
      <c r="AL1092">
        <v>-89.073864999999998</v>
      </c>
      <c r="AM1092">
        <v>100</v>
      </c>
      <c r="AN1092">
        <v>15600</v>
      </c>
      <c r="AO1092" t="s">
        <v>118</v>
      </c>
      <c r="AP1092">
        <v>124</v>
      </c>
      <c r="AQ1092">
        <v>101</v>
      </c>
      <c r="AR1092">
        <v>-128</v>
      </c>
      <c r="AZ1092">
        <v>1200</v>
      </c>
      <c r="BA1092">
        <v>1</v>
      </c>
      <c r="BB1092" t="str">
        <f t="shared" si="54"/>
        <v xml:space="preserve">N690LS  </v>
      </c>
      <c r="BC1092">
        <v>1</v>
      </c>
      <c r="BE1092">
        <v>0</v>
      </c>
      <c r="BF1092">
        <v>0</v>
      </c>
      <c r="BG1092">
        <v>0</v>
      </c>
      <c r="BH1092">
        <v>16100</v>
      </c>
      <c r="BI1092">
        <v>1</v>
      </c>
      <c r="BJ1092">
        <v>1</v>
      </c>
      <c r="BK1092">
        <v>1</v>
      </c>
      <c r="BL1092">
        <v>0</v>
      </c>
      <c r="BO1092">
        <v>0</v>
      </c>
      <c r="BP1092">
        <v>0</v>
      </c>
      <c r="BW1092" t="str">
        <f>"13:59:35.555"</f>
        <v>13:59:35.555</v>
      </c>
      <c r="CJ1092">
        <v>0</v>
      </c>
      <c r="CK1092">
        <v>2</v>
      </c>
      <c r="CL1092">
        <v>0</v>
      </c>
      <c r="CM1092">
        <v>2</v>
      </c>
      <c r="CN1092">
        <v>0</v>
      </c>
      <c r="CO1092">
        <v>7</v>
      </c>
      <c r="CP1092" t="s">
        <v>119</v>
      </c>
      <c r="CQ1092">
        <v>197</v>
      </c>
      <c r="CR1092">
        <v>0</v>
      </c>
      <c r="CW1092">
        <v>16097896</v>
      </c>
      <c r="CY1092">
        <v>1</v>
      </c>
      <c r="CZ1092">
        <v>0</v>
      </c>
      <c r="DA1092">
        <v>1</v>
      </c>
      <c r="DB1092">
        <v>0</v>
      </c>
      <c r="DC1092">
        <v>0</v>
      </c>
      <c r="DD1092">
        <v>1</v>
      </c>
      <c r="DE1092">
        <v>0</v>
      </c>
      <c r="DF1092">
        <v>0</v>
      </c>
      <c r="DG1092">
        <v>0</v>
      </c>
      <c r="DH1092">
        <v>0</v>
      </c>
      <c r="DI1092">
        <v>0</v>
      </c>
    </row>
    <row r="1093" spans="1:113" x14ac:dyDescent="0.3">
      <c r="A1093" t="str">
        <f>"09/28/2021 13:59:36.902"</f>
        <v>09/28/2021 13:59:36.902</v>
      </c>
      <c r="C1093" t="str">
        <f t="shared" si="53"/>
        <v>FFDFD3C0</v>
      </c>
      <c r="D1093" t="s">
        <v>120</v>
      </c>
      <c r="E1093">
        <v>12</v>
      </c>
      <c r="F1093">
        <v>1012</v>
      </c>
      <c r="G1093" t="s">
        <v>114</v>
      </c>
      <c r="J1093" t="s">
        <v>121</v>
      </c>
      <c r="K1093">
        <v>0</v>
      </c>
      <c r="L1093">
        <v>3</v>
      </c>
      <c r="M1093">
        <v>0</v>
      </c>
      <c r="N1093">
        <v>2</v>
      </c>
      <c r="O1093">
        <v>1</v>
      </c>
      <c r="P1093">
        <v>0</v>
      </c>
      <c r="Q1093">
        <v>0</v>
      </c>
      <c r="S1093" t="str">
        <f>"13:59:36.461"</f>
        <v>13:59:36.461</v>
      </c>
      <c r="T1093" t="str">
        <f>"13:59:36.061"</f>
        <v>13:59:36.061</v>
      </c>
      <c r="U1093" t="str">
        <f t="shared" si="55"/>
        <v>A92BC1</v>
      </c>
      <c r="V1093">
        <v>0</v>
      </c>
      <c r="W1093">
        <v>0</v>
      </c>
      <c r="X1093">
        <v>2</v>
      </c>
      <c r="Z1093">
        <v>0</v>
      </c>
      <c r="AA1093">
        <v>9</v>
      </c>
      <c r="AB1093">
        <v>3</v>
      </c>
      <c r="AC1093">
        <v>0</v>
      </c>
      <c r="AD1093">
        <v>10</v>
      </c>
      <c r="AE1093">
        <v>0</v>
      </c>
      <c r="AF1093">
        <v>3</v>
      </c>
      <c r="AG1093">
        <v>2</v>
      </c>
      <c r="AH1093">
        <v>0</v>
      </c>
      <c r="AI1093" t="s">
        <v>1194</v>
      </c>
      <c r="AJ1093">
        <v>45.904547999999998</v>
      </c>
      <c r="AK1093" t="s">
        <v>1195</v>
      </c>
      <c r="AL1093">
        <v>-89.073156999999995</v>
      </c>
      <c r="AM1093">
        <v>100</v>
      </c>
      <c r="AN1093">
        <v>15600</v>
      </c>
      <c r="AO1093" t="s">
        <v>118</v>
      </c>
      <c r="AP1093">
        <v>123</v>
      </c>
      <c r="AQ1093">
        <v>100</v>
      </c>
      <c r="AR1093">
        <v>-128</v>
      </c>
      <c r="AZ1093">
        <v>1200</v>
      </c>
      <c r="BA1093">
        <v>1</v>
      </c>
      <c r="BB1093" t="str">
        <f t="shared" si="54"/>
        <v xml:space="preserve">N690LS  </v>
      </c>
      <c r="BC1093">
        <v>1</v>
      </c>
      <c r="BE1093">
        <v>0</v>
      </c>
      <c r="BF1093">
        <v>0</v>
      </c>
      <c r="BG1093">
        <v>0</v>
      </c>
      <c r="BH1093">
        <v>16100</v>
      </c>
      <c r="BI1093">
        <v>1</v>
      </c>
      <c r="BJ1093">
        <v>1</v>
      </c>
      <c r="BK1093">
        <v>1</v>
      </c>
      <c r="BL1093">
        <v>0</v>
      </c>
      <c r="BO1093">
        <v>0</v>
      </c>
      <c r="BP1093">
        <v>0</v>
      </c>
      <c r="BW1093" t="str">
        <f>"13:59:36.466"</f>
        <v>13:59:36.466</v>
      </c>
      <c r="CJ1093">
        <v>0</v>
      </c>
      <c r="CK1093">
        <v>2</v>
      </c>
      <c r="CL1093">
        <v>0</v>
      </c>
      <c r="CM1093">
        <v>2</v>
      </c>
      <c r="CN1093">
        <v>0</v>
      </c>
      <c r="CO1093">
        <v>7</v>
      </c>
      <c r="CP1093" t="s">
        <v>119</v>
      </c>
      <c r="CQ1093">
        <v>209</v>
      </c>
      <c r="CR1093">
        <v>3</v>
      </c>
      <c r="CW1093">
        <v>7281753</v>
      </c>
      <c r="CY1093">
        <v>1</v>
      </c>
      <c r="CZ1093">
        <v>0</v>
      </c>
      <c r="DA1093">
        <v>0</v>
      </c>
      <c r="DB1093">
        <v>0</v>
      </c>
      <c r="DC1093">
        <v>0</v>
      </c>
      <c r="DD1093">
        <v>1</v>
      </c>
      <c r="DE1093">
        <v>0</v>
      </c>
      <c r="DF1093">
        <v>0</v>
      </c>
      <c r="DG1093">
        <v>0</v>
      </c>
      <c r="DH1093">
        <v>0</v>
      </c>
      <c r="DI1093">
        <v>0</v>
      </c>
    </row>
    <row r="1094" spans="1:113" x14ac:dyDescent="0.3">
      <c r="A1094" t="str">
        <f>"09/28/2021 13:59:36.902"</f>
        <v>09/28/2021 13:59:36.902</v>
      </c>
      <c r="C1094" t="str">
        <f t="shared" si="53"/>
        <v>FFDFD3C0</v>
      </c>
      <c r="D1094" t="s">
        <v>113</v>
      </c>
      <c r="E1094">
        <v>7</v>
      </c>
      <c r="H1094">
        <v>170</v>
      </c>
      <c r="I1094" t="s">
        <v>114</v>
      </c>
      <c r="J1094" t="s">
        <v>115</v>
      </c>
      <c r="K1094">
        <v>0</v>
      </c>
      <c r="L1094">
        <v>3</v>
      </c>
      <c r="M1094">
        <v>0</v>
      </c>
      <c r="N1094">
        <v>2</v>
      </c>
      <c r="O1094">
        <v>1</v>
      </c>
      <c r="P1094">
        <v>0</v>
      </c>
      <c r="Q1094">
        <v>0</v>
      </c>
      <c r="S1094" t="str">
        <f>"13:59:36.461"</f>
        <v>13:59:36.461</v>
      </c>
      <c r="T1094" t="str">
        <f>"13:59:36.061"</f>
        <v>13:59:36.061</v>
      </c>
      <c r="U1094" t="str">
        <f t="shared" si="55"/>
        <v>A92BC1</v>
      </c>
      <c r="V1094">
        <v>0</v>
      </c>
      <c r="W1094">
        <v>0</v>
      </c>
      <c r="X1094">
        <v>2</v>
      </c>
      <c r="Z1094">
        <v>0</v>
      </c>
      <c r="AA1094">
        <v>9</v>
      </c>
      <c r="AB1094">
        <v>3</v>
      </c>
      <c r="AC1094">
        <v>0</v>
      </c>
      <c r="AD1094">
        <v>10</v>
      </c>
      <c r="AE1094">
        <v>0</v>
      </c>
      <c r="AF1094">
        <v>3</v>
      </c>
      <c r="AG1094">
        <v>2</v>
      </c>
      <c r="AH1094">
        <v>0</v>
      </c>
      <c r="AI1094" t="s">
        <v>1194</v>
      </c>
      <c r="AJ1094">
        <v>45.904547999999998</v>
      </c>
      <c r="AK1094" t="s">
        <v>1195</v>
      </c>
      <c r="AL1094">
        <v>-89.073156999999995</v>
      </c>
      <c r="AM1094">
        <v>100</v>
      </c>
      <c r="AN1094">
        <v>15600</v>
      </c>
      <c r="AO1094" t="s">
        <v>118</v>
      </c>
      <c r="AP1094">
        <v>123</v>
      </c>
      <c r="AQ1094">
        <v>100</v>
      </c>
      <c r="AR1094">
        <v>-128</v>
      </c>
      <c r="AZ1094">
        <v>1200</v>
      </c>
      <c r="BA1094">
        <v>1</v>
      </c>
      <c r="BB1094" t="str">
        <f t="shared" si="54"/>
        <v xml:space="preserve">N690LS  </v>
      </c>
      <c r="BC1094">
        <v>1</v>
      </c>
      <c r="BE1094">
        <v>0</v>
      </c>
      <c r="BF1094">
        <v>0</v>
      </c>
      <c r="BG1094">
        <v>0</v>
      </c>
      <c r="BH1094">
        <v>16100</v>
      </c>
      <c r="BI1094">
        <v>1</v>
      </c>
      <c r="BJ1094">
        <v>1</v>
      </c>
      <c r="BK1094">
        <v>1</v>
      </c>
      <c r="BL1094">
        <v>0</v>
      </c>
      <c r="BO1094">
        <v>0</v>
      </c>
      <c r="BP1094">
        <v>0</v>
      </c>
      <c r="BW1094" t="str">
        <f>"13:59:36.466"</f>
        <v>13:59:36.466</v>
      </c>
      <c r="CJ1094">
        <v>0</v>
      </c>
      <c r="CK1094">
        <v>2</v>
      </c>
      <c r="CL1094">
        <v>0</v>
      </c>
      <c r="CM1094">
        <v>2</v>
      </c>
      <c r="CN1094">
        <v>0</v>
      </c>
      <c r="CO1094">
        <v>7</v>
      </c>
      <c r="CP1094" t="s">
        <v>119</v>
      </c>
      <c r="CQ1094">
        <v>209</v>
      </c>
      <c r="CR1094">
        <v>3</v>
      </c>
      <c r="CW1094">
        <v>7281753</v>
      </c>
      <c r="CY1094">
        <v>1</v>
      </c>
      <c r="CZ1094">
        <v>0</v>
      </c>
      <c r="DA1094">
        <v>1</v>
      </c>
      <c r="DB1094">
        <v>0</v>
      </c>
      <c r="DC1094">
        <v>0</v>
      </c>
      <c r="DD1094">
        <v>1</v>
      </c>
      <c r="DE1094">
        <v>0</v>
      </c>
      <c r="DF1094">
        <v>0</v>
      </c>
      <c r="DG1094">
        <v>0</v>
      </c>
      <c r="DH1094">
        <v>0</v>
      </c>
      <c r="DI1094">
        <v>0</v>
      </c>
    </row>
    <row r="1095" spans="1:113" x14ac:dyDescent="0.3">
      <c r="A1095" t="str">
        <f>"09/28/2021 13:59:37.871"</f>
        <v>09/28/2021 13:59:37.871</v>
      </c>
      <c r="C1095" t="str">
        <f t="shared" si="53"/>
        <v>FFDFD3C0</v>
      </c>
      <c r="D1095" t="s">
        <v>113</v>
      </c>
      <c r="E1095">
        <v>7</v>
      </c>
      <c r="H1095">
        <v>170</v>
      </c>
      <c r="I1095" t="s">
        <v>114</v>
      </c>
      <c r="J1095" t="s">
        <v>115</v>
      </c>
      <c r="K1095">
        <v>0</v>
      </c>
      <c r="L1095">
        <v>3</v>
      </c>
      <c r="M1095">
        <v>0</v>
      </c>
      <c r="N1095">
        <v>2</v>
      </c>
      <c r="O1095">
        <v>1</v>
      </c>
      <c r="P1095">
        <v>0</v>
      </c>
      <c r="Q1095">
        <v>0</v>
      </c>
      <c r="S1095" t="str">
        <f>"13:59:37.547"</f>
        <v>13:59:37.547</v>
      </c>
      <c r="T1095" t="str">
        <f>"13:59:37.047"</f>
        <v>13:59:37.047</v>
      </c>
      <c r="U1095" t="str">
        <f t="shared" si="55"/>
        <v>A92BC1</v>
      </c>
      <c r="V1095">
        <v>0</v>
      </c>
      <c r="W1095">
        <v>0</v>
      </c>
      <c r="X1095">
        <v>2</v>
      </c>
      <c r="Z1095">
        <v>0</v>
      </c>
      <c r="AA1095">
        <v>9</v>
      </c>
      <c r="AB1095">
        <v>3</v>
      </c>
      <c r="AC1095">
        <v>0</v>
      </c>
      <c r="AD1095">
        <v>10</v>
      </c>
      <c r="AE1095">
        <v>0</v>
      </c>
      <c r="AF1095">
        <v>3</v>
      </c>
      <c r="AG1095">
        <v>2</v>
      </c>
      <c r="AH1095">
        <v>0</v>
      </c>
      <c r="AI1095" t="s">
        <v>1196</v>
      </c>
      <c r="AJ1095">
        <v>45.905085</v>
      </c>
      <c r="AK1095" t="s">
        <v>1197</v>
      </c>
      <c r="AL1095">
        <v>-89.072255999999996</v>
      </c>
      <c r="AM1095">
        <v>100</v>
      </c>
      <c r="AN1095">
        <v>15600</v>
      </c>
      <c r="AO1095" t="s">
        <v>118</v>
      </c>
      <c r="AP1095">
        <v>122</v>
      </c>
      <c r="AQ1095">
        <v>99</v>
      </c>
      <c r="AR1095">
        <v>-128</v>
      </c>
      <c r="AZ1095">
        <v>1200</v>
      </c>
      <c r="BA1095">
        <v>1</v>
      </c>
      <c r="BB1095" t="str">
        <f t="shared" si="54"/>
        <v xml:space="preserve">N690LS  </v>
      </c>
      <c r="BC1095">
        <v>1</v>
      </c>
      <c r="BE1095">
        <v>0</v>
      </c>
      <c r="BF1095">
        <v>0</v>
      </c>
      <c r="BG1095">
        <v>0</v>
      </c>
      <c r="BH1095">
        <v>16075</v>
      </c>
      <c r="BI1095">
        <v>1</v>
      </c>
      <c r="BJ1095">
        <v>1</v>
      </c>
      <c r="BK1095">
        <v>1</v>
      </c>
      <c r="BL1095">
        <v>0</v>
      </c>
      <c r="BO1095">
        <v>0</v>
      </c>
      <c r="BP1095">
        <v>0</v>
      </c>
      <c r="BW1095" t="str">
        <f>"13:59:37.547"</f>
        <v>13:59:37.547</v>
      </c>
      <c r="CJ1095">
        <v>0</v>
      </c>
      <c r="CK1095">
        <v>2</v>
      </c>
      <c r="CL1095">
        <v>0</v>
      </c>
      <c r="CM1095">
        <v>2</v>
      </c>
      <c r="CN1095">
        <v>0</v>
      </c>
      <c r="CO1095">
        <v>7</v>
      </c>
      <c r="CP1095" t="s">
        <v>119</v>
      </c>
      <c r="CQ1095">
        <v>209</v>
      </c>
      <c r="CR1095">
        <v>3</v>
      </c>
      <c r="CW1095">
        <v>7282156</v>
      </c>
      <c r="CY1095">
        <v>1</v>
      </c>
      <c r="CZ1095">
        <v>0</v>
      </c>
      <c r="DA1095">
        <v>0</v>
      </c>
      <c r="DB1095">
        <v>0</v>
      </c>
      <c r="DC1095">
        <v>0</v>
      </c>
      <c r="DD1095">
        <v>1</v>
      </c>
      <c r="DE1095">
        <v>0</v>
      </c>
      <c r="DF1095">
        <v>0</v>
      </c>
      <c r="DG1095">
        <v>0</v>
      </c>
      <c r="DH1095">
        <v>0</v>
      </c>
      <c r="DI1095">
        <v>0</v>
      </c>
    </row>
    <row r="1096" spans="1:113" x14ac:dyDescent="0.3">
      <c r="A1096" t="str">
        <f>"09/28/2021 13:59:37.886"</f>
        <v>09/28/2021 13:59:37.886</v>
      </c>
      <c r="C1096" t="str">
        <f t="shared" si="53"/>
        <v>FFDFD3C0</v>
      </c>
      <c r="D1096" t="s">
        <v>120</v>
      </c>
      <c r="E1096">
        <v>12</v>
      </c>
      <c r="F1096">
        <v>1012</v>
      </c>
      <c r="G1096" t="s">
        <v>114</v>
      </c>
      <c r="J1096" t="s">
        <v>121</v>
      </c>
      <c r="K1096">
        <v>0</v>
      </c>
      <c r="L1096">
        <v>3</v>
      </c>
      <c r="M1096">
        <v>0</v>
      </c>
      <c r="N1096">
        <v>2</v>
      </c>
      <c r="O1096">
        <v>1</v>
      </c>
      <c r="P1096">
        <v>0</v>
      </c>
      <c r="Q1096">
        <v>0</v>
      </c>
      <c r="S1096" t="str">
        <f>"13:59:37.547"</f>
        <v>13:59:37.547</v>
      </c>
      <c r="T1096" t="str">
        <f>"13:59:37.047"</f>
        <v>13:59:37.047</v>
      </c>
      <c r="U1096" t="str">
        <f t="shared" si="55"/>
        <v>A92BC1</v>
      </c>
      <c r="V1096">
        <v>0</v>
      </c>
      <c r="W1096">
        <v>0</v>
      </c>
      <c r="X1096">
        <v>2</v>
      </c>
      <c r="Z1096">
        <v>0</v>
      </c>
      <c r="AA1096">
        <v>9</v>
      </c>
      <c r="AB1096">
        <v>3</v>
      </c>
      <c r="AC1096">
        <v>0</v>
      </c>
      <c r="AD1096">
        <v>10</v>
      </c>
      <c r="AE1096">
        <v>0</v>
      </c>
      <c r="AF1096">
        <v>3</v>
      </c>
      <c r="AG1096">
        <v>2</v>
      </c>
      <c r="AH1096">
        <v>0</v>
      </c>
      <c r="AI1096" t="s">
        <v>1196</v>
      </c>
      <c r="AJ1096">
        <v>45.905085</v>
      </c>
      <c r="AK1096" t="s">
        <v>1197</v>
      </c>
      <c r="AL1096">
        <v>-89.072255999999996</v>
      </c>
      <c r="AM1096">
        <v>100</v>
      </c>
      <c r="AN1096">
        <v>15600</v>
      </c>
      <c r="AO1096" t="s">
        <v>118</v>
      </c>
      <c r="AP1096">
        <v>122</v>
      </c>
      <c r="AQ1096">
        <v>99</v>
      </c>
      <c r="AR1096">
        <v>-128</v>
      </c>
      <c r="AZ1096">
        <v>1200</v>
      </c>
      <c r="BA1096">
        <v>1</v>
      </c>
      <c r="BB1096" t="str">
        <f t="shared" si="54"/>
        <v xml:space="preserve">N690LS  </v>
      </c>
      <c r="BC1096">
        <v>1</v>
      </c>
      <c r="BE1096">
        <v>0</v>
      </c>
      <c r="BF1096">
        <v>0</v>
      </c>
      <c r="BG1096">
        <v>0</v>
      </c>
      <c r="BH1096">
        <v>16075</v>
      </c>
      <c r="BI1096">
        <v>1</v>
      </c>
      <c r="BJ1096">
        <v>1</v>
      </c>
      <c r="BK1096">
        <v>1</v>
      </c>
      <c r="BL1096">
        <v>0</v>
      </c>
      <c r="BO1096">
        <v>0</v>
      </c>
      <c r="BP1096">
        <v>0</v>
      </c>
      <c r="BW1096" t="str">
        <f>"13:59:37.547"</f>
        <v>13:59:37.547</v>
      </c>
      <c r="CJ1096">
        <v>0</v>
      </c>
      <c r="CK1096">
        <v>2</v>
      </c>
      <c r="CL1096">
        <v>0</v>
      </c>
      <c r="CM1096">
        <v>2</v>
      </c>
      <c r="CN1096">
        <v>0</v>
      </c>
      <c r="CO1096">
        <v>7</v>
      </c>
      <c r="CP1096" t="s">
        <v>119</v>
      </c>
      <c r="CQ1096">
        <v>209</v>
      </c>
      <c r="CR1096">
        <v>3</v>
      </c>
      <c r="CW1096">
        <v>7282156</v>
      </c>
      <c r="CY1096">
        <v>1</v>
      </c>
      <c r="CZ1096">
        <v>0</v>
      </c>
      <c r="DA1096">
        <v>1</v>
      </c>
      <c r="DB1096">
        <v>0</v>
      </c>
      <c r="DC1096">
        <v>0</v>
      </c>
      <c r="DD1096">
        <v>1</v>
      </c>
      <c r="DE1096">
        <v>0</v>
      </c>
      <c r="DF1096">
        <v>0</v>
      </c>
      <c r="DG1096">
        <v>0</v>
      </c>
      <c r="DH1096">
        <v>0</v>
      </c>
      <c r="DI1096">
        <v>0</v>
      </c>
    </row>
    <row r="1097" spans="1:113" x14ac:dyDescent="0.3">
      <c r="A1097" t="str">
        <f>"09/28/2021 13:59:38.777"</f>
        <v>09/28/2021 13:59:38.777</v>
      </c>
      <c r="C1097" t="str">
        <f t="shared" si="53"/>
        <v>FFDFD3C0</v>
      </c>
      <c r="D1097" t="s">
        <v>113</v>
      </c>
      <c r="E1097">
        <v>7</v>
      </c>
      <c r="H1097">
        <v>170</v>
      </c>
      <c r="I1097" t="s">
        <v>114</v>
      </c>
      <c r="J1097" t="s">
        <v>115</v>
      </c>
      <c r="K1097">
        <v>0</v>
      </c>
      <c r="L1097">
        <v>3</v>
      </c>
      <c r="M1097">
        <v>0</v>
      </c>
      <c r="N1097">
        <v>2</v>
      </c>
      <c r="O1097">
        <v>1</v>
      </c>
      <c r="P1097">
        <v>0</v>
      </c>
      <c r="Q1097">
        <v>0</v>
      </c>
      <c r="S1097" t="str">
        <f>"13:59:38.563"</f>
        <v>13:59:38.563</v>
      </c>
      <c r="T1097" t="str">
        <f>"13:59:38.063"</f>
        <v>13:59:38.063</v>
      </c>
      <c r="U1097" t="str">
        <f t="shared" si="55"/>
        <v>A92BC1</v>
      </c>
      <c r="V1097">
        <v>0</v>
      </c>
      <c r="W1097">
        <v>0</v>
      </c>
      <c r="X1097">
        <v>2</v>
      </c>
      <c r="Z1097">
        <v>0</v>
      </c>
      <c r="AA1097">
        <v>9</v>
      </c>
      <c r="AB1097">
        <v>3</v>
      </c>
      <c r="AC1097">
        <v>0</v>
      </c>
      <c r="AD1097">
        <v>10</v>
      </c>
      <c r="AE1097">
        <v>0</v>
      </c>
      <c r="AF1097">
        <v>3</v>
      </c>
      <c r="AG1097">
        <v>2</v>
      </c>
      <c r="AH1097">
        <v>0</v>
      </c>
      <c r="AI1097" t="s">
        <v>1198</v>
      </c>
      <c r="AJ1097">
        <v>45.905557000000002</v>
      </c>
      <c r="AK1097" t="s">
        <v>1199</v>
      </c>
      <c r="AL1097">
        <v>-89.071461999999997</v>
      </c>
      <c r="AM1097">
        <v>100</v>
      </c>
      <c r="AN1097">
        <v>15600</v>
      </c>
      <c r="AO1097" t="s">
        <v>118</v>
      </c>
      <c r="AP1097">
        <v>121</v>
      </c>
      <c r="AQ1097">
        <v>98</v>
      </c>
      <c r="AR1097">
        <v>-128</v>
      </c>
      <c r="AZ1097">
        <v>1200</v>
      </c>
      <c r="BA1097">
        <v>1</v>
      </c>
      <c r="BB1097" t="str">
        <f t="shared" si="54"/>
        <v xml:space="preserve">N690LS  </v>
      </c>
      <c r="BC1097">
        <v>1</v>
      </c>
      <c r="BE1097">
        <v>0</v>
      </c>
      <c r="BF1097">
        <v>0</v>
      </c>
      <c r="BG1097">
        <v>0</v>
      </c>
      <c r="BH1097">
        <v>16075</v>
      </c>
      <c r="BI1097">
        <v>1</v>
      </c>
      <c r="BJ1097">
        <v>1</v>
      </c>
      <c r="BK1097">
        <v>1</v>
      </c>
      <c r="BL1097">
        <v>0</v>
      </c>
      <c r="BO1097">
        <v>0</v>
      </c>
      <c r="BP1097">
        <v>0</v>
      </c>
      <c r="BW1097" t="str">
        <f>"13:59:38.568"</f>
        <v>13:59:38.568</v>
      </c>
      <c r="CJ1097">
        <v>0</v>
      </c>
      <c r="CK1097">
        <v>2</v>
      </c>
      <c r="CL1097">
        <v>0</v>
      </c>
      <c r="CM1097">
        <v>2</v>
      </c>
      <c r="CN1097">
        <v>0</v>
      </c>
      <c r="CO1097">
        <v>7</v>
      </c>
      <c r="CP1097" t="s">
        <v>119</v>
      </c>
      <c r="CQ1097">
        <v>209</v>
      </c>
      <c r="CR1097">
        <v>3</v>
      </c>
      <c r="CW1097">
        <v>7282541</v>
      </c>
      <c r="CY1097">
        <v>1</v>
      </c>
      <c r="CZ1097">
        <v>0</v>
      </c>
      <c r="DA1097">
        <v>0</v>
      </c>
      <c r="DB1097">
        <v>0</v>
      </c>
      <c r="DC1097">
        <v>0</v>
      </c>
      <c r="DD1097">
        <v>1</v>
      </c>
      <c r="DE1097">
        <v>0</v>
      </c>
      <c r="DF1097">
        <v>0</v>
      </c>
      <c r="DG1097">
        <v>0</v>
      </c>
      <c r="DH1097">
        <v>0</v>
      </c>
      <c r="DI1097">
        <v>0</v>
      </c>
    </row>
    <row r="1098" spans="1:113" x14ac:dyDescent="0.3">
      <c r="A1098" t="str">
        <f>"09/28/2021 13:59:38.777"</f>
        <v>09/28/2021 13:59:38.777</v>
      </c>
      <c r="C1098" t="str">
        <f t="shared" si="53"/>
        <v>FFDFD3C0</v>
      </c>
      <c r="D1098" t="s">
        <v>120</v>
      </c>
      <c r="E1098">
        <v>12</v>
      </c>
      <c r="F1098">
        <v>1012</v>
      </c>
      <c r="G1098" t="s">
        <v>114</v>
      </c>
      <c r="J1098" t="s">
        <v>121</v>
      </c>
      <c r="K1098">
        <v>0</v>
      </c>
      <c r="L1098">
        <v>3</v>
      </c>
      <c r="M1098">
        <v>0</v>
      </c>
      <c r="N1098">
        <v>2</v>
      </c>
      <c r="O1098">
        <v>1</v>
      </c>
      <c r="P1098">
        <v>0</v>
      </c>
      <c r="Q1098">
        <v>0</v>
      </c>
      <c r="S1098" t="str">
        <f>"13:59:38.563"</f>
        <v>13:59:38.563</v>
      </c>
      <c r="T1098" t="str">
        <f>"13:59:38.063"</f>
        <v>13:59:38.063</v>
      </c>
      <c r="U1098" t="str">
        <f t="shared" si="55"/>
        <v>A92BC1</v>
      </c>
      <c r="V1098">
        <v>0</v>
      </c>
      <c r="W1098">
        <v>0</v>
      </c>
      <c r="X1098">
        <v>2</v>
      </c>
      <c r="Z1098">
        <v>0</v>
      </c>
      <c r="AA1098">
        <v>9</v>
      </c>
      <c r="AB1098">
        <v>3</v>
      </c>
      <c r="AC1098">
        <v>0</v>
      </c>
      <c r="AD1098">
        <v>10</v>
      </c>
      <c r="AE1098">
        <v>0</v>
      </c>
      <c r="AF1098">
        <v>3</v>
      </c>
      <c r="AG1098">
        <v>2</v>
      </c>
      <c r="AH1098">
        <v>0</v>
      </c>
      <c r="AI1098" t="s">
        <v>1198</v>
      </c>
      <c r="AJ1098">
        <v>45.905557000000002</v>
      </c>
      <c r="AK1098" t="s">
        <v>1199</v>
      </c>
      <c r="AL1098">
        <v>-89.071461999999997</v>
      </c>
      <c r="AM1098">
        <v>100</v>
      </c>
      <c r="AN1098">
        <v>15600</v>
      </c>
      <c r="AO1098" t="s">
        <v>118</v>
      </c>
      <c r="AP1098">
        <v>121</v>
      </c>
      <c r="AQ1098">
        <v>98</v>
      </c>
      <c r="AR1098">
        <v>-128</v>
      </c>
      <c r="AZ1098">
        <v>1200</v>
      </c>
      <c r="BA1098">
        <v>1</v>
      </c>
      <c r="BB1098" t="str">
        <f t="shared" si="54"/>
        <v xml:space="preserve">N690LS  </v>
      </c>
      <c r="BC1098">
        <v>1</v>
      </c>
      <c r="BE1098">
        <v>0</v>
      </c>
      <c r="BF1098">
        <v>0</v>
      </c>
      <c r="BG1098">
        <v>0</v>
      </c>
      <c r="BH1098">
        <v>16075</v>
      </c>
      <c r="BI1098">
        <v>1</v>
      </c>
      <c r="BJ1098">
        <v>1</v>
      </c>
      <c r="BK1098">
        <v>1</v>
      </c>
      <c r="BL1098">
        <v>0</v>
      </c>
      <c r="BO1098">
        <v>0</v>
      </c>
      <c r="BP1098">
        <v>0</v>
      </c>
      <c r="BW1098" t="str">
        <f>"13:59:38.568"</f>
        <v>13:59:38.568</v>
      </c>
      <c r="CJ1098">
        <v>0</v>
      </c>
      <c r="CK1098">
        <v>2</v>
      </c>
      <c r="CL1098">
        <v>0</v>
      </c>
      <c r="CM1098">
        <v>2</v>
      </c>
      <c r="CN1098">
        <v>0</v>
      </c>
      <c r="CO1098">
        <v>7</v>
      </c>
      <c r="CP1098" t="s">
        <v>119</v>
      </c>
      <c r="CQ1098">
        <v>209</v>
      </c>
      <c r="CR1098">
        <v>3</v>
      </c>
      <c r="CW1098">
        <v>7282541</v>
      </c>
      <c r="CY1098">
        <v>1</v>
      </c>
      <c r="CZ1098">
        <v>0</v>
      </c>
      <c r="DA1098">
        <v>1</v>
      </c>
      <c r="DB1098">
        <v>0</v>
      </c>
      <c r="DC1098">
        <v>0</v>
      </c>
      <c r="DD1098">
        <v>1</v>
      </c>
      <c r="DE1098">
        <v>0</v>
      </c>
      <c r="DF1098">
        <v>0</v>
      </c>
      <c r="DG1098">
        <v>0</v>
      </c>
      <c r="DH1098">
        <v>0</v>
      </c>
      <c r="DI1098">
        <v>0</v>
      </c>
    </row>
    <row r="1099" spans="1:113" x14ac:dyDescent="0.3">
      <c r="A1099" t="str">
        <f>"09/28/2021 13:59:39.763"</f>
        <v>09/28/2021 13:59:39.763</v>
      </c>
      <c r="C1099" t="str">
        <f t="shared" si="53"/>
        <v>FFDFD3C0</v>
      </c>
      <c r="D1099" t="s">
        <v>113</v>
      </c>
      <c r="E1099">
        <v>7</v>
      </c>
      <c r="H1099">
        <v>170</v>
      </c>
      <c r="I1099" t="s">
        <v>114</v>
      </c>
      <c r="J1099" t="s">
        <v>115</v>
      </c>
      <c r="K1099">
        <v>0</v>
      </c>
      <c r="L1099">
        <v>3</v>
      </c>
      <c r="M1099">
        <v>0</v>
      </c>
      <c r="N1099">
        <v>2</v>
      </c>
      <c r="O1099">
        <v>1</v>
      </c>
      <c r="P1099">
        <v>0</v>
      </c>
      <c r="Q1099">
        <v>0</v>
      </c>
      <c r="S1099" t="str">
        <f>"13:59:39.570"</f>
        <v>13:59:39.570</v>
      </c>
      <c r="T1099" t="str">
        <f>"13:59:39.170"</f>
        <v>13:59:39.170</v>
      </c>
      <c r="U1099" t="str">
        <f t="shared" si="55"/>
        <v>A92BC1</v>
      </c>
      <c r="V1099">
        <v>0</v>
      </c>
      <c r="W1099">
        <v>0</v>
      </c>
      <c r="X1099">
        <v>2</v>
      </c>
      <c r="Z1099">
        <v>0</v>
      </c>
      <c r="AA1099">
        <v>9</v>
      </c>
      <c r="AB1099">
        <v>3</v>
      </c>
      <c r="AC1099">
        <v>0</v>
      </c>
      <c r="AD1099">
        <v>10</v>
      </c>
      <c r="AE1099">
        <v>0</v>
      </c>
      <c r="AF1099">
        <v>3</v>
      </c>
      <c r="AG1099">
        <v>2</v>
      </c>
      <c r="AH1099">
        <v>0</v>
      </c>
      <c r="AI1099" t="s">
        <v>1200</v>
      </c>
      <c r="AJ1099">
        <v>45.905963999999997</v>
      </c>
      <c r="AK1099" t="s">
        <v>1201</v>
      </c>
      <c r="AL1099">
        <v>-89.070646999999994</v>
      </c>
      <c r="AM1099">
        <v>100</v>
      </c>
      <c r="AN1099">
        <v>15600</v>
      </c>
      <c r="AO1099" t="s">
        <v>118</v>
      </c>
      <c r="AP1099">
        <v>120</v>
      </c>
      <c r="AQ1099">
        <v>97</v>
      </c>
      <c r="AR1099">
        <v>-128</v>
      </c>
      <c r="AZ1099">
        <v>1200</v>
      </c>
      <c r="BA1099">
        <v>1</v>
      </c>
      <c r="BB1099" t="str">
        <f t="shared" si="54"/>
        <v xml:space="preserve">N690LS  </v>
      </c>
      <c r="BC1099">
        <v>1</v>
      </c>
      <c r="BE1099">
        <v>0</v>
      </c>
      <c r="BF1099">
        <v>0</v>
      </c>
      <c r="BG1099">
        <v>0</v>
      </c>
      <c r="BH1099">
        <v>16075</v>
      </c>
      <c r="BI1099">
        <v>1</v>
      </c>
      <c r="BJ1099">
        <v>1</v>
      </c>
      <c r="BK1099">
        <v>1</v>
      </c>
      <c r="BL1099">
        <v>0</v>
      </c>
      <c r="BO1099">
        <v>0</v>
      </c>
      <c r="BP1099">
        <v>0</v>
      </c>
      <c r="BW1099" t="str">
        <f>"13:59:39.574"</f>
        <v>13:59:39.574</v>
      </c>
      <c r="CJ1099">
        <v>0</v>
      </c>
      <c r="CK1099">
        <v>2</v>
      </c>
      <c r="CL1099">
        <v>0</v>
      </c>
      <c r="CM1099">
        <v>2</v>
      </c>
      <c r="CN1099">
        <v>0</v>
      </c>
      <c r="CO1099">
        <v>7</v>
      </c>
      <c r="CP1099" t="s">
        <v>119</v>
      </c>
      <c r="CQ1099">
        <v>209</v>
      </c>
      <c r="CR1099">
        <v>3</v>
      </c>
      <c r="CW1099">
        <v>7282876</v>
      </c>
      <c r="CY1099">
        <v>1</v>
      </c>
      <c r="CZ1099">
        <v>0</v>
      </c>
      <c r="DA1099">
        <v>0</v>
      </c>
      <c r="DB1099">
        <v>0</v>
      </c>
      <c r="DC1099">
        <v>0</v>
      </c>
      <c r="DD1099">
        <v>1</v>
      </c>
      <c r="DE1099">
        <v>0</v>
      </c>
      <c r="DF1099">
        <v>0</v>
      </c>
      <c r="DG1099">
        <v>0</v>
      </c>
      <c r="DH1099">
        <v>0</v>
      </c>
      <c r="DI1099">
        <v>0</v>
      </c>
    </row>
    <row r="1100" spans="1:113" x14ac:dyDescent="0.3">
      <c r="A1100" t="str">
        <f>"09/28/2021 13:59:39.841"</f>
        <v>09/28/2021 13:59:39.841</v>
      </c>
      <c r="C1100" t="str">
        <f t="shared" si="53"/>
        <v>FFDFD3C0</v>
      </c>
      <c r="D1100" t="s">
        <v>120</v>
      </c>
      <c r="E1100">
        <v>12</v>
      </c>
      <c r="F1100">
        <v>1012</v>
      </c>
      <c r="G1100" t="s">
        <v>114</v>
      </c>
      <c r="J1100" t="s">
        <v>121</v>
      </c>
      <c r="K1100">
        <v>0</v>
      </c>
      <c r="L1100">
        <v>3</v>
      </c>
      <c r="M1100">
        <v>0</v>
      </c>
      <c r="N1100">
        <v>2</v>
      </c>
      <c r="O1100">
        <v>1</v>
      </c>
      <c r="P1100">
        <v>0</v>
      </c>
      <c r="Q1100">
        <v>0</v>
      </c>
      <c r="S1100" t="str">
        <f>"13:59:39.570"</f>
        <v>13:59:39.570</v>
      </c>
      <c r="T1100" t="str">
        <f>"13:59:39.170"</f>
        <v>13:59:39.170</v>
      </c>
      <c r="U1100" t="str">
        <f t="shared" si="55"/>
        <v>A92BC1</v>
      </c>
      <c r="V1100">
        <v>0</v>
      </c>
      <c r="W1100">
        <v>0</v>
      </c>
      <c r="X1100">
        <v>2</v>
      </c>
      <c r="Z1100">
        <v>0</v>
      </c>
      <c r="AA1100">
        <v>9</v>
      </c>
      <c r="AB1100">
        <v>3</v>
      </c>
      <c r="AC1100">
        <v>0</v>
      </c>
      <c r="AD1100">
        <v>10</v>
      </c>
      <c r="AE1100">
        <v>0</v>
      </c>
      <c r="AF1100">
        <v>3</v>
      </c>
      <c r="AG1100">
        <v>2</v>
      </c>
      <c r="AH1100">
        <v>0</v>
      </c>
      <c r="AI1100" t="s">
        <v>1200</v>
      </c>
      <c r="AJ1100">
        <v>45.905963999999997</v>
      </c>
      <c r="AK1100" t="s">
        <v>1201</v>
      </c>
      <c r="AL1100">
        <v>-89.070646999999994</v>
      </c>
      <c r="AM1100">
        <v>100</v>
      </c>
      <c r="AN1100">
        <v>15600</v>
      </c>
      <c r="AO1100" t="s">
        <v>118</v>
      </c>
      <c r="AP1100">
        <v>120</v>
      </c>
      <c r="AQ1100">
        <v>97</v>
      </c>
      <c r="AR1100">
        <v>-128</v>
      </c>
      <c r="AZ1100">
        <v>1200</v>
      </c>
      <c r="BA1100">
        <v>1</v>
      </c>
      <c r="BB1100" t="str">
        <f t="shared" si="54"/>
        <v xml:space="preserve">N690LS  </v>
      </c>
      <c r="BC1100">
        <v>1</v>
      </c>
      <c r="BE1100">
        <v>0</v>
      </c>
      <c r="BF1100">
        <v>0</v>
      </c>
      <c r="BG1100">
        <v>0</v>
      </c>
      <c r="BH1100">
        <v>16075</v>
      </c>
      <c r="BI1100">
        <v>1</v>
      </c>
      <c r="BJ1100">
        <v>1</v>
      </c>
      <c r="BK1100">
        <v>1</v>
      </c>
      <c r="BL1100">
        <v>0</v>
      </c>
      <c r="BO1100">
        <v>0</v>
      </c>
      <c r="BP1100">
        <v>0</v>
      </c>
      <c r="BW1100" t="str">
        <f>"13:59:39.574"</f>
        <v>13:59:39.574</v>
      </c>
      <c r="CJ1100">
        <v>0</v>
      </c>
      <c r="CK1100">
        <v>2</v>
      </c>
      <c r="CL1100">
        <v>0</v>
      </c>
      <c r="CM1100">
        <v>2</v>
      </c>
      <c r="CN1100">
        <v>0</v>
      </c>
      <c r="CO1100">
        <v>7</v>
      </c>
      <c r="CP1100" t="s">
        <v>119</v>
      </c>
      <c r="CQ1100">
        <v>209</v>
      </c>
      <c r="CR1100">
        <v>3</v>
      </c>
      <c r="CW1100">
        <v>7282876</v>
      </c>
      <c r="CY1100">
        <v>1</v>
      </c>
      <c r="CZ1100">
        <v>0</v>
      </c>
      <c r="DA1100">
        <v>1</v>
      </c>
      <c r="DB1100">
        <v>0</v>
      </c>
      <c r="DC1100">
        <v>0</v>
      </c>
      <c r="DD1100">
        <v>1</v>
      </c>
      <c r="DE1100">
        <v>0</v>
      </c>
      <c r="DF1100">
        <v>0</v>
      </c>
      <c r="DG1100">
        <v>0</v>
      </c>
      <c r="DH1100">
        <v>0</v>
      </c>
      <c r="DI1100">
        <v>0</v>
      </c>
    </row>
    <row r="1101" spans="1:113" x14ac:dyDescent="0.3">
      <c r="A1101" t="str">
        <f>"09/28/2021 13:59:40.810"</f>
        <v>09/28/2021 13:59:40.810</v>
      </c>
      <c r="C1101" t="str">
        <f t="shared" si="53"/>
        <v>FFDFD3C0</v>
      </c>
      <c r="D1101" t="s">
        <v>120</v>
      </c>
      <c r="E1101">
        <v>12</v>
      </c>
      <c r="F1101">
        <v>1012</v>
      </c>
      <c r="G1101" t="s">
        <v>114</v>
      </c>
      <c r="J1101" t="s">
        <v>121</v>
      </c>
      <c r="K1101">
        <v>0</v>
      </c>
      <c r="L1101">
        <v>3</v>
      </c>
      <c r="M1101">
        <v>0</v>
      </c>
      <c r="N1101">
        <v>2</v>
      </c>
      <c r="O1101">
        <v>1</v>
      </c>
      <c r="P1101">
        <v>0</v>
      </c>
      <c r="Q1101">
        <v>0</v>
      </c>
      <c r="S1101" t="str">
        <f>"13:59:40.609"</f>
        <v>13:59:40.609</v>
      </c>
      <c r="T1101" t="str">
        <f>"13:59:40.209"</f>
        <v>13:59:40.209</v>
      </c>
      <c r="U1101" t="str">
        <f t="shared" si="55"/>
        <v>A92BC1</v>
      </c>
      <c r="V1101">
        <v>0</v>
      </c>
      <c r="W1101">
        <v>0</v>
      </c>
      <c r="X1101">
        <v>2</v>
      </c>
      <c r="Z1101">
        <v>0</v>
      </c>
      <c r="AA1101">
        <v>9</v>
      </c>
      <c r="AB1101">
        <v>3</v>
      </c>
      <c r="AC1101">
        <v>0</v>
      </c>
      <c r="AD1101">
        <v>10</v>
      </c>
      <c r="AE1101">
        <v>0</v>
      </c>
      <c r="AF1101">
        <v>3</v>
      </c>
      <c r="AG1101">
        <v>2</v>
      </c>
      <c r="AH1101">
        <v>0</v>
      </c>
      <c r="AI1101" t="s">
        <v>1202</v>
      </c>
      <c r="AJ1101">
        <v>45.906415000000003</v>
      </c>
      <c r="AK1101" t="s">
        <v>1203</v>
      </c>
      <c r="AL1101">
        <v>-89.069917000000004</v>
      </c>
      <c r="AM1101">
        <v>100</v>
      </c>
      <c r="AN1101">
        <v>15600</v>
      </c>
      <c r="AO1101" t="s">
        <v>118</v>
      </c>
      <c r="AP1101">
        <v>119</v>
      </c>
      <c r="AQ1101">
        <v>96</v>
      </c>
      <c r="AR1101">
        <v>-128</v>
      </c>
      <c r="AZ1101">
        <v>1200</v>
      </c>
      <c r="BA1101">
        <v>1</v>
      </c>
      <c r="BB1101" t="str">
        <f t="shared" si="54"/>
        <v xml:space="preserve">N690LS  </v>
      </c>
      <c r="BC1101">
        <v>1</v>
      </c>
      <c r="BE1101">
        <v>0</v>
      </c>
      <c r="BF1101">
        <v>0</v>
      </c>
      <c r="BG1101">
        <v>0</v>
      </c>
      <c r="BH1101">
        <v>16075</v>
      </c>
      <c r="BI1101">
        <v>1</v>
      </c>
      <c r="BJ1101">
        <v>1</v>
      </c>
      <c r="BK1101">
        <v>1</v>
      </c>
      <c r="BL1101">
        <v>0</v>
      </c>
      <c r="BO1101">
        <v>0</v>
      </c>
      <c r="BP1101">
        <v>0</v>
      </c>
      <c r="BW1101" t="str">
        <f>"13:59:40.613"</f>
        <v>13:59:40.613</v>
      </c>
      <c r="CJ1101">
        <v>0</v>
      </c>
      <c r="CK1101">
        <v>2</v>
      </c>
      <c r="CL1101">
        <v>0</v>
      </c>
      <c r="CM1101">
        <v>2</v>
      </c>
      <c r="CN1101">
        <v>0</v>
      </c>
      <c r="CO1101">
        <v>7</v>
      </c>
      <c r="CP1101" t="s">
        <v>119</v>
      </c>
      <c r="CQ1101">
        <v>209</v>
      </c>
      <c r="CR1101">
        <v>3</v>
      </c>
      <c r="CW1101">
        <v>7283268</v>
      </c>
      <c r="CY1101">
        <v>1</v>
      </c>
      <c r="CZ1101">
        <v>0</v>
      </c>
      <c r="DA1101">
        <v>0</v>
      </c>
      <c r="DB1101">
        <v>0</v>
      </c>
      <c r="DC1101">
        <v>0</v>
      </c>
      <c r="DD1101">
        <v>1</v>
      </c>
      <c r="DE1101">
        <v>0</v>
      </c>
      <c r="DF1101">
        <v>0</v>
      </c>
      <c r="DG1101">
        <v>0</v>
      </c>
      <c r="DH1101">
        <v>0</v>
      </c>
      <c r="DI1101">
        <v>0</v>
      </c>
    </row>
    <row r="1102" spans="1:113" x14ac:dyDescent="0.3">
      <c r="A1102" t="str">
        <f>"09/28/2021 13:59:40.810"</f>
        <v>09/28/2021 13:59:40.810</v>
      </c>
      <c r="C1102" t="str">
        <f t="shared" si="53"/>
        <v>FFDFD3C0</v>
      </c>
      <c r="D1102" t="s">
        <v>113</v>
      </c>
      <c r="E1102">
        <v>7</v>
      </c>
      <c r="H1102">
        <v>170</v>
      </c>
      <c r="I1102" t="s">
        <v>114</v>
      </c>
      <c r="J1102" t="s">
        <v>115</v>
      </c>
      <c r="K1102">
        <v>0</v>
      </c>
      <c r="L1102">
        <v>3</v>
      </c>
      <c r="M1102">
        <v>0</v>
      </c>
      <c r="N1102">
        <v>2</v>
      </c>
      <c r="O1102">
        <v>1</v>
      </c>
      <c r="P1102">
        <v>0</v>
      </c>
      <c r="Q1102">
        <v>0</v>
      </c>
      <c r="S1102" t="str">
        <f>"13:59:40.609"</f>
        <v>13:59:40.609</v>
      </c>
      <c r="T1102" t="str">
        <f>"13:59:40.209"</f>
        <v>13:59:40.209</v>
      </c>
      <c r="U1102" t="str">
        <f t="shared" si="55"/>
        <v>A92BC1</v>
      </c>
      <c r="V1102">
        <v>0</v>
      </c>
      <c r="W1102">
        <v>0</v>
      </c>
      <c r="X1102">
        <v>2</v>
      </c>
      <c r="Z1102">
        <v>0</v>
      </c>
      <c r="AA1102">
        <v>9</v>
      </c>
      <c r="AB1102">
        <v>3</v>
      </c>
      <c r="AC1102">
        <v>0</v>
      </c>
      <c r="AD1102">
        <v>10</v>
      </c>
      <c r="AE1102">
        <v>0</v>
      </c>
      <c r="AF1102">
        <v>3</v>
      </c>
      <c r="AG1102">
        <v>2</v>
      </c>
      <c r="AH1102">
        <v>0</v>
      </c>
      <c r="AI1102" t="s">
        <v>1202</v>
      </c>
      <c r="AJ1102">
        <v>45.906415000000003</v>
      </c>
      <c r="AK1102" t="s">
        <v>1203</v>
      </c>
      <c r="AL1102">
        <v>-89.069917000000004</v>
      </c>
      <c r="AM1102">
        <v>100</v>
      </c>
      <c r="AN1102">
        <v>15600</v>
      </c>
      <c r="AO1102" t="s">
        <v>118</v>
      </c>
      <c r="AP1102">
        <v>119</v>
      </c>
      <c r="AQ1102">
        <v>96</v>
      </c>
      <c r="AR1102">
        <v>-128</v>
      </c>
      <c r="AZ1102">
        <v>1200</v>
      </c>
      <c r="BA1102">
        <v>1</v>
      </c>
      <c r="BB1102" t="str">
        <f t="shared" si="54"/>
        <v xml:space="preserve">N690LS  </v>
      </c>
      <c r="BC1102">
        <v>1</v>
      </c>
      <c r="BE1102">
        <v>0</v>
      </c>
      <c r="BF1102">
        <v>0</v>
      </c>
      <c r="BG1102">
        <v>0</v>
      </c>
      <c r="BH1102">
        <v>16075</v>
      </c>
      <c r="BI1102">
        <v>1</v>
      </c>
      <c r="BJ1102">
        <v>1</v>
      </c>
      <c r="BK1102">
        <v>1</v>
      </c>
      <c r="BL1102">
        <v>0</v>
      </c>
      <c r="BO1102">
        <v>0</v>
      </c>
      <c r="BP1102">
        <v>0</v>
      </c>
      <c r="BW1102" t="str">
        <f>"13:59:40.613"</f>
        <v>13:59:40.613</v>
      </c>
      <c r="CJ1102">
        <v>0</v>
      </c>
      <c r="CK1102">
        <v>2</v>
      </c>
      <c r="CL1102">
        <v>0</v>
      </c>
      <c r="CM1102">
        <v>2</v>
      </c>
      <c r="CN1102">
        <v>0</v>
      </c>
      <c r="CO1102">
        <v>7</v>
      </c>
      <c r="CP1102" t="s">
        <v>119</v>
      </c>
      <c r="CQ1102">
        <v>209</v>
      </c>
      <c r="CR1102">
        <v>3</v>
      </c>
      <c r="CW1102">
        <v>7283268</v>
      </c>
      <c r="CY1102">
        <v>1</v>
      </c>
      <c r="CZ1102">
        <v>0</v>
      </c>
      <c r="DA1102">
        <v>1</v>
      </c>
      <c r="DB1102">
        <v>0</v>
      </c>
      <c r="DC1102">
        <v>0</v>
      </c>
      <c r="DD1102">
        <v>1</v>
      </c>
      <c r="DE1102">
        <v>0</v>
      </c>
      <c r="DF1102">
        <v>0</v>
      </c>
      <c r="DG1102">
        <v>0</v>
      </c>
      <c r="DH1102">
        <v>0</v>
      </c>
      <c r="DI1102">
        <v>0</v>
      </c>
    </row>
    <row r="1103" spans="1:113" x14ac:dyDescent="0.3">
      <c r="A1103" t="str">
        <f>"09/28/2021 13:59:41.824"</f>
        <v>09/28/2021 13:59:41.824</v>
      </c>
      <c r="C1103" t="str">
        <f t="shared" si="53"/>
        <v>FFDFD3C0</v>
      </c>
      <c r="D1103" t="s">
        <v>120</v>
      </c>
      <c r="E1103">
        <v>12</v>
      </c>
      <c r="F1103">
        <v>1012</v>
      </c>
      <c r="G1103" t="s">
        <v>114</v>
      </c>
      <c r="J1103" t="s">
        <v>121</v>
      </c>
      <c r="K1103">
        <v>0</v>
      </c>
      <c r="L1103">
        <v>3</v>
      </c>
      <c r="M1103">
        <v>0</v>
      </c>
      <c r="N1103">
        <v>2</v>
      </c>
      <c r="O1103">
        <v>1</v>
      </c>
      <c r="P1103">
        <v>0</v>
      </c>
      <c r="Q1103">
        <v>0</v>
      </c>
      <c r="S1103" t="str">
        <f>"13:59:41.602"</f>
        <v>13:59:41.602</v>
      </c>
      <c r="T1103" t="str">
        <f>"13:59:41.102"</f>
        <v>13:59:41.102</v>
      </c>
      <c r="U1103" t="str">
        <f t="shared" si="55"/>
        <v>A92BC1</v>
      </c>
      <c r="V1103">
        <v>0</v>
      </c>
      <c r="W1103">
        <v>0</v>
      </c>
      <c r="X1103">
        <v>2</v>
      </c>
      <c r="Z1103">
        <v>0</v>
      </c>
      <c r="AA1103">
        <v>9</v>
      </c>
      <c r="AB1103">
        <v>3</v>
      </c>
      <c r="AC1103">
        <v>0</v>
      </c>
      <c r="AD1103">
        <v>10</v>
      </c>
      <c r="AE1103">
        <v>0</v>
      </c>
      <c r="AF1103">
        <v>3</v>
      </c>
      <c r="AG1103">
        <v>2</v>
      </c>
      <c r="AH1103">
        <v>0</v>
      </c>
      <c r="AI1103" t="s">
        <v>1204</v>
      </c>
      <c r="AJ1103">
        <v>45.906866000000001</v>
      </c>
      <c r="AK1103" t="s">
        <v>1205</v>
      </c>
      <c r="AL1103">
        <v>-89.069102000000001</v>
      </c>
      <c r="AM1103">
        <v>100</v>
      </c>
      <c r="AN1103">
        <v>15600</v>
      </c>
      <c r="AO1103" t="s">
        <v>118</v>
      </c>
      <c r="AP1103">
        <v>118</v>
      </c>
      <c r="AQ1103">
        <v>96</v>
      </c>
      <c r="AR1103">
        <v>-128</v>
      </c>
      <c r="AZ1103">
        <v>1200</v>
      </c>
      <c r="BA1103">
        <v>1</v>
      </c>
      <c r="BB1103" t="str">
        <f t="shared" si="54"/>
        <v xml:space="preserve">N690LS  </v>
      </c>
      <c r="BC1103">
        <v>1</v>
      </c>
      <c r="BE1103">
        <v>0</v>
      </c>
      <c r="BF1103">
        <v>0</v>
      </c>
      <c r="BG1103">
        <v>0</v>
      </c>
      <c r="BH1103">
        <v>16075</v>
      </c>
      <c r="BI1103">
        <v>1</v>
      </c>
      <c r="BJ1103">
        <v>1</v>
      </c>
      <c r="BK1103">
        <v>1</v>
      </c>
      <c r="BL1103">
        <v>0</v>
      </c>
      <c r="BO1103">
        <v>0</v>
      </c>
      <c r="BP1103">
        <v>0</v>
      </c>
      <c r="BW1103" t="str">
        <f>"13:59:41.607"</f>
        <v>13:59:41.607</v>
      </c>
      <c r="CJ1103">
        <v>0</v>
      </c>
      <c r="CK1103">
        <v>2</v>
      </c>
      <c r="CL1103">
        <v>0</v>
      </c>
      <c r="CM1103">
        <v>2</v>
      </c>
      <c r="CN1103">
        <v>0</v>
      </c>
      <c r="CO1103">
        <v>7</v>
      </c>
      <c r="CP1103" t="s">
        <v>119</v>
      </c>
      <c r="CQ1103">
        <v>209</v>
      </c>
      <c r="CR1103">
        <v>3</v>
      </c>
      <c r="CW1103">
        <v>7283646</v>
      </c>
      <c r="CY1103">
        <v>1</v>
      </c>
      <c r="CZ1103">
        <v>0</v>
      </c>
      <c r="DA1103">
        <v>0</v>
      </c>
      <c r="DB1103">
        <v>0</v>
      </c>
      <c r="DC1103">
        <v>0</v>
      </c>
      <c r="DD1103">
        <v>1</v>
      </c>
      <c r="DE1103">
        <v>0</v>
      </c>
      <c r="DF1103">
        <v>0</v>
      </c>
      <c r="DG1103">
        <v>0</v>
      </c>
      <c r="DH1103">
        <v>0</v>
      </c>
      <c r="DI1103">
        <v>0</v>
      </c>
    </row>
    <row r="1104" spans="1:113" x14ac:dyDescent="0.3">
      <c r="A1104" t="str">
        <f>"09/28/2021 13:59:41.839"</f>
        <v>09/28/2021 13:59:41.839</v>
      </c>
      <c r="C1104" t="str">
        <f t="shared" si="53"/>
        <v>FFDFD3C0</v>
      </c>
      <c r="D1104" t="s">
        <v>113</v>
      </c>
      <c r="E1104">
        <v>7</v>
      </c>
      <c r="H1104">
        <v>170</v>
      </c>
      <c r="I1104" t="s">
        <v>114</v>
      </c>
      <c r="J1104" t="s">
        <v>115</v>
      </c>
      <c r="K1104">
        <v>0</v>
      </c>
      <c r="L1104">
        <v>3</v>
      </c>
      <c r="M1104">
        <v>0</v>
      </c>
      <c r="N1104">
        <v>2</v>
      </c>
      <c r="O1104">
        <v>1</v>
      </c>
      <c r="P1104">
        <v>0</v>
      </c>
      <c r="Q1104">
        <v>0</v>
      </c>
      <c r="S1104" t="str">
        <f>"13:59:41.602"</f>
        <v>13:59:41.602</v>
      </c>
      <c r="T1104" t="str">
        <f>"13:59:41.102"</f>
        <v>13:59:41.102</v>
      </c>
      <c r="U1104" t="str">
        <f t="shared" si="55"/>
        <v>A92BC1</v>
      </c>
      <c r="V1104">
        <v>0</v>
      </c>
      <c r="W1104">
        <v>0</v>
      </c>
      <c r="X1104">
        <v>2</v>
      </c>
      <c r="Z1104">
        <v>0</v>
      </c>
      <c r="AA1104">
        <v>9</v>
      </c>
      <c r="AB1104">
        <v>3</v>
      </c>
      <c r="AC1104">
        <v>0</v>
      </c>
      <c r="AD1104">
        <v>10</v>
      </c>
      <c r="AE1104">
        <v>0</v>
      </c>
      <c r="AF1104">
        <v>3</v>
      </c>
      <c r="AG1104">
        <v>2</v>
      </c>
      <c r="AH1104">
        <v>0</v>
      </c>
      <c r="AI1104" t="s">
        <v>1204</v>
      </c>
      <c r="AJ1104">
        <v>45.906866000000001</v>
      </c>
      <c r="AK1104" t="s">
        <v>1205</v>
      </c>
      <c r="AL1104">
        <v>-89.069102000000001</v>
      </c>
      <c r="AM1104">
        <v>100</v>
      </c>
      <c r="AN1104">
        <v>15600</v>
      </c>
      <c r="AO1104" t="s">
        <v>118</v>
      </c>
      <c r="AP1104">
        <v>118</v>
      </c>
      <c r="AQ1104">
        <v>96</v>
      </c>
      <c r="AR1104">
        <v>-128</v>
      </c>
      <c r="AZ1104">
        <v>1200</v>
      </c>
      <c r="BA1104">
        <v>1</v>
      </c>
      <c r="BB1104" t="str">
        <f t="shared" si="54"/>
        <v xml:space="preserve">N690LS  </v>
      </c>
      <c r="BC1104">
        <v>1</v>
      </c>
      <c r="BE1104">
        <v>0</v>
      </c>
      <c r="BF1104">
        <v>0</v>
      </c>
      <c r="BG1104">
        <v>0</v>
      </c>
      <c r="BH1104">
        <v>16075</v>
      </c>
      <c r="BI1104">
        <v>1</v>
      </c>
      <c r="BJ1104">
        <v>1</v>
      </c>
      <c r="BK1104">
        <v>1</v>
      </c>
      <c r="BL1104">
        <v>0</v>
      </c>
      <c r="BO1104">
        <v>0</v>
      </c>
      <c r="BP1104">
        <v>0</v>
      </c>
      <c r="BW1104" t="str">
        <f>"13:59:41.607"</f>
        <v>13:59:41.607</v>
      </c>
      <c r="CJ1104">
        <v>0</v>
      </c>
      <c r="CK1104">
        <v>2</v>
      </c>
      <c r="CL1104">
        <v>0</v>
      </c>
      <c r="CM1104">
        <v>2</v>
      </c>
      <c r="CN1104">
        <v>0</v>
      </c>
      <c r="CO1104">
        <v>7</v>
      </c>
      <c r="CP1104" t="s">
        <v>119</v>
      </c>
      <c r="CQ1104">
        <v>209</v>
      </c>
      <c r="CR1104">
        <v>3</v>
      </c>
      <c r="CW1104">
        <v>7283646</v>
      </c>
      <c r="CY1104">
        <v>1</v>
      </c>
      <c r="CZ1104">
        <v>0</v>
      </c>
      <c r="DA1104">
        <v>1</v>
      </c>
      <c r="DB1104">
        <v>0</v>
      </c>
      <c r="DC1104">
        <v>0</v>
      </c>
      <c r="DD1104">
        <v>1</v>
      </c>
      <c r="DE1104">
        <v>0</v>
      </c>
      <c r="DF1104">
        <v>0</v>
      </c>
      <c r="DG1104">
        <v>0</v>
      </c>
      <c r="DH1104">
        <v>0</v>
      </c>
      <c r="DI1104">
        <v>0</v>
      </c>
    </row>
    <row r="1105" spans="1:113" x14ac:dyDescent="0.3">
      <c r="A1105" t="str">
        <f>"09/28/2021 13:59:42.793"</f>
        <v>09/28/2021 13:59:42.793</v>
      </c>
      <c r="C1105" t="str">
        <f t="shared" si="53"/>
        <v>FFDFD3C0</v>
      </c>
      <c r="D1105" t="s">
        <v>120</v>
      </c>
      <c r="E1105">
        <v>12</v>
      </c>
      <c r="F1105">
        <v>1012</v>
      </c>
      <c r="G1105" t="s">
        <v>114</v>
      </c>
      <c r="J1105" t="s">
        <v>121</v>
      </c>
      <c r="K1105">
        <v>0</v>
      </c>
      <c r="L1105">
        <v>3</v>
      </c>
      <c r="M1105">
        <v>0</v>
      </c>
      <c r="N1105">
        <v>2</v>
      </c>
      <c r="O1105">
        <v>1</v>
      </c>
      <c r="P1105">
        <v>0</v>
      </c>
      <c r="Q1105">
        <v>0</v>
      </c>
      <c r="S1105" t="str">
        <f>"13:59:42.523"</f>
        <v>13:59:42.523</v>
      </c>
      <c r="T1105" t="str">
        <f>"13:59:42.123"</f>
        <v>13:59:42.123</v>
      </c>
      <c r="U1105" t="str">
        <f t="shared" si="55"/>
        <v>A92BC1</v>
      </c>
      <c r="V1105">
        <v>0</v>
      </c>
      <c r="W1105">
        <v>0</v>
      </c>
      <c r="X1105">
        <v>2</v>
      </c>
      <c r="Z1105">
        <v>0</v>
      </c>
      <c r="AA1105">
        <v>9</v>
      </c>
      <c r="AB1105">
        <v>3</v>
      </c>
      <c r="AC1105">
        <v>0</v>
      </c>
      <c r="AD1105">
        <v>10</v>
      </c>
      <c r="AE1105">
        <v>0</v>
      </c>
      <c r="AF1105">
        <v>3</v>
      </c>
      <c r="AG1105">
        <v>2</v>
      </c>
      <c r="AH1105">
        <v>0</v>
      </c>
      <c r="AI1105" t="s">
        <v>1206</v>
      </c>
      <c r="AJ1105">
        <v>45.907252</v>
      </c>
      <c r="AK1105" t="s">
        <v>1207</v>
      </c>
      <c r="AL1105">
        <v>-89.068437000000003</v>
      </c>
      <c r="AM1105">
        <v>100</v>
      </c>
      <c r="AN1105">
        <v>15600</v>
      </c>
      <c r="AO1105" t="s">
        <v>118</v>
      </c>
      <c r="AP1105">
        <v>116</v>
      </c>
      <c r="AQ1105">
        <v>95</v>
      </c>
      <c r="AR1105">
        <v>-128</v>
      </c>
      <c r="AZ1105">
        <v>1200</v>
      </c>
      <c r="BA1105">
        <v>1</v>
      </c>
      <c r="BB1105" t="str">
        <f t="shared" si="54"/>
        <v xml:space="preserve">N690LS  </v>
      </c>
      <c r="BC1105">
        <v>1</v>
      </c>
      <c r="BE1105">
        <v>0</v>
      </c>
      <c r="BF1105">
        <v>0</v>
      </c>
      <c r="BG1105">
        <v>0</v>
      </c>
      <c r="BH1105">
        <v>16075</v>
      </c>
      <c r="BI1105">
        <v>1</v>
      </c>
      <c r="BJ1105">
        <v>1</v>
      </c>
      <c r="BK1105">
        <v>1</v>
      </c>
      <c r="BL1105">
        <v>0</v>
      </c>
      <c r="BO1105">
        <v>0</v>
      </c>
      <c r="BP1105">
        <v>0</v>
      </c>
      <c r="BW1105" t="str">
        <f>"13:59:42.525"</f>
        <v>13:59:42.525</v>
      </c>
      <c r="CJ1105">
        <v>0</v>
      </c>
      <c r="CK1105">
        <v>2</v>
      </c>
      <c r="CL1105">
        <v>0</v>
      </c>
      <c r="CM1105">
        <v>2</v>
      </c>
      <c r="CN1105">
        <v>0</v>
      </c>
      <c r="CO1105">
        <v>7</v>
      </c>
      <c r="CP1105" t="s">
        <v>119</v>
      </c>
      <c r="CQ1105">
        <v>209</v>
      </c>
      <c r="CR1105">
        <v>3</v>
      </c>
      <c r="CW1105">
        <v>7283993</v>
      </c>
      <c r="CY1105">
        <v>1</v>
      </c>
      <c r="CZ1105">
        <v>0</v>
      </c>
      <c r="DA1105">
        <v>0</v>
      </c>
      <c r="DB1105">
        <v>0</v>
      </c>
      <c r="DC1105">
        <v>0</v>
      </c>
      <c r="DD1105">
        <v>1</v>
      </c>
      <c r="DE1105">
        <v>0</v>
      </c>
      <c r="DF1105">
        <v>0</v>
      </c>
      <c r="DG1105">
        <v>0</v>
      </c>
      <c r="DH1105">
        <v>0</v>
      </c>
      <c r="DI1105">
        <v>0</v>
      </c>
    </row>
    <row r="1106" spans="1:113" x14ac:dyDescent="0.3">
      <c r="A1106" t="str">
        <f>"09/28/2021 13:59:42.793"</f>
        <v>09/28/2021 13:59:42.793</v>
      </c>
      <c r="C1106" t="str">
        <f t="shared" si="53"/>
        <v>FFDFD3C0</v>
      </c>
      <c r="D1106" t="s">
        <v>113</v>
      </c>
      <c r="E1106">
        <v>7</v>
      </c>
      <c r="H1106">
        <v>170</v>
      </c>
      <c r="I1106" t="s">
        <v>114</v>
      </c>
      <c r="J1106" t="s">
        <v>115</v>
      </c>
      <c r="K1106">
        <v>0</v>
      </c>
      <c r="L1106">
        <v>3</v>
      </c>
      <c r="M1106">
        <v>0</v>
      </c>
      <c r="N1106">
        <v>2</v>
      </c>
      <c r="O1106">
        <v>1</v>
      </c>
      <c r="P1106">
        <v>0</v>
      </c>
      <c r="Q1106">
        <v>0</v>
      </c>
      <c r="S1106" t="str">
        <f>"13:59:42.523"</f>
        <v>13:59:42.523</v>
      </c>
      <c r="T1106" t="str">
        <f>"13:59:42.123"</f>
        <v>13:59:42.123</v>
      </c>
      <c r="U1106" t="str">
        <f t="shared" si="55"/>
        <v>A92BC1</v>
      </c>
      <c r="V1106">
        <v>0</v>
      </c>
      <c r="W1106">
        <v>0</v>
      </c>
      <c r="X1106">
        <v>2</v>
      </c>
      <c r="Z1106">
        <v>0</v>
      </c>
      <c r="AA1106">
        <v>9</v>
      </c>
      <c r="AB1106">
        <v>3</v>
      </c>
      <c r="AC1106">
        <v>0</v>
      </c>
      <c r="AD1106">
        <v>10</v>
      </c>
      <c r="AE1106">
        <v>0</v>
      </c>
      <c r="AF1106">
        <v>3</v>
      </c>
      <c r="AG1106">
        <v>2</v>
      </c>
      <c r="AH1106">
        <v>0</v>
      </c>
      <c r="AI1106" t="s">
        <v>1206</v>
      </c>
      <c r="AJ1106">
        <v>45.907252</v>
      </c>
      <c r="AK1106" t="s">
        <v>1207</v>
      </c>
      <c r="AL1106">
        <v>-89.068437000000003</v>
      </c>
      <c r="AM1106">
        <v>100</v>
      </c>
      <c r="AN1106">
        <v>15600</v>
      </c>
      <c r="AO1106" t="s">
        <v>118</v>
      </c>
      <c r="AP1106">
        <v>116</v>
      </c>
      <c r="AQ1106">
        <v>95</v>
      </c>
      <c r="AR1106">
        <v>-128</v>
      </c>
      <c r="AZ1106">
        <v>1200</v>
      </c>
      <c r="BA1106">
        <v>1</v>
      </c>
      <c r="BB1106" t="str">
        <f t="shared" si="54"/>
        <v xml:space="preserve">N690LS  </v>
      </c>
      <c r="BC1106">
        <v>1</v>
      </c>
      <c r="BE1106">
        <v>0</v>
      </c>
      <c r="BF1106">
        <v>0</v>
      </c>
      <c r="BG1106">
        <v>0</v>
      </c>
      <c r="BH1106">
        <v>16075</v>
      </c>
      <c r="BI1106">
        <v>1</v>
      </c>
      <c r="BJ1106">
        <v>1</v>
      </c>
      <c r="BK1106">
        <v>1</v>
      </c>
      <c r="BL1106">
        <v>0</v>
      </c>
      <c r="BO1106">
        <v>0</v>
      </c>
      <c r="BP1106">
        <v>0</v>
      </c>
      <c r="BW1106" t="str">
        <f>"13:59:42.525"</f>
        <v>13:59:42.525</v>
      </c>
      <c r="CJ1106">
        <v>0</v>
      </c>
      <c r="CK1106">
        <v>2</v>
      </c>
      <c r="CL1106">
        <v>0</v>
      </c>
      <c r="CM1106">
        <v>2</v>
      </c>
      <c r="CN1106">
        <v>0</v>
      </c>
      <c r="CO1106">
        <v>7</v>
      </c>
      <c r="CP1106" t="s">
        <v>119</v>
      </c>
      <c r="CQ1106">
        <v>209</v>
      </c>
      <c r="CR1106">
        <v>3</v>
      </c>
      <c r="CW1106">
        <v>7283993</v>
      </c>
      <c r="CY1106">
        <v>1</v>
      </c>
      <c r="CZ1106">
        <v>0</v>
      </c>
      <c r="DA1106">
        <v>1</v>
      </c>
      <c r="DB1106">
        <v>0</v>
      </c>
      <c r="DC1106">
        <v>0</v>
      </c>
      <c r="DD1106">
        <v>1</v>
      </c>
      <c r="DE1106">
        <v>0</v>
      </c>
      <c r="DF1106">
        <v>0</v>
      </c>
      <c r="DG1106">
        <v>0</v>
      </c>
      <c r="DH1106">
        <v>0</v>
      </c>
      <c r="DI1106">
        <v>0</v>
      </c>
    </row>
    <row r="1107" spans="1:113" x14ac:dyDescent="0.3">
      <c r="A1107" t="str">
        <f>"09/28/2021 13:59:43.886"</f>
        <v>09/28/2021 13:59:43.886</v>
      </c>
      <c r="C1107" t="str">
        <f t="shared" si="53"/>
        <v>FFDFD3C0</v>
      </c>
      <c r="D1107" t="s">
        <v>113</v>
      </c>
      <c r="E1107">
        <v>7</v>
      </c>
      <c r="H1107">
        <v>170</v>
      </c>
      <c r="I1107" t="s">
        <v>114</v>
      </c>
      <c r="J1107" t="s">
        <v>115</v>
      </c>
      <c r="K1107">
        <v>0</v>
      </c>
      <c r="L1107">
        <v>3</v>
      </c>
      <c r="M1107">
        <v>0</v>
      </c>
      <c r="N1107">
        <v>2</v>
      </c>
      <c r="O1107">
        <v>1</v>
      </c>
      <c r="P1107">
        <v>0</v>
      </c>
      <c r="Q1107">
        <v>0</v>
      </c>
      <c r="S1107" t="str">
        <f>"13:59:43.664"</f>
        <v>13:59:43.664</v>
      </c>
      <c r="T1107" t="str">
        <f>"13:59:43.164"</f>
        <v>13:59:43.164</v>
      </c>
      <c r="U1107" t="str">
        <f t="shared" si="55"/>
        <v>A92BC1</v>
      </c>
      <c r="V1107">
        <v>0</v>
      </c>
      <c r="W1107">
        <v>0</v>
      </c>
      <c r="X1107">
        <v>2</v>
      </c>
      <c r="Z1107">
        <v>0</v>
      </c>
      <c r="AA1107">
        <v>9</v>
      </c>
      <c r="AB1107">
        <v>3</v>
      </c>
      <c r="AC1107">
        <v>0</v>
      </c>
      <c r="AD1107">
        <v>10</v>
      </c>
      <c r="AE1107">
        <v>0</v>
      </c>
      <c r="AF1107">
        <v>3</v>
      </c>
      <c r="AG1107">
        <v>2</v>
      </c>
      <c r="AH1107">
        <v>0</v>
      </c>
      <c r="AI1107" t="s">
        <v>1208</v>
      </c>
      <c r="AJ1107">
        <v>45.907767</v>
      </c>
      <c r="AK1107" t="s">
        <v>1209</v>
      </c>
      <c r="AL1107">
        <v>-89.067535000000007</v>
      </c>
      <c r="AM1107">
        <v>100</v>
      </c>
      <c r="AN1107">
        <v>15600</v>
      </c>
      <c r="AO1107" t="s">
        <v>118</v>
      </c>
      <c r="AP1107">
        <v>115</v>
      </c>
      <c r="AQ1107">
        <v>94</v>
      </c>
      <c r="AR1107">
        <v>-128</v>
      </c>
      <c r="AZ1107">
        <v>1200</v>
      </c>
      <c r="BA1107">
        <v>1</v>
      </c>
      <c r="BB1107" t="str">
        <f t="shared" si="54"/>
        <v xml:space="preserve">N690LS  </v>
      </c>
      <c r="BC1107">
        <v>1</v>
      </c>
      <c r="BE1107">
        <v>0</v>
      </c>
      <c r="BF1107">
        <v>0</v>
      </c>
      <c r="BG1107">
        <v>0</v>
      </c>
      <c r="BH1107">
        <v>16075</v>
      </c>
      <c r="BI1107">
        <v>1</v>
      </c>
      <c r="BJ1107">
        <v>1</v>
      </c>
      <c r="BK1107">
        <v>1</v>
      </c>
      <c r="BL1107">
        <v>0</v>
      </c>
      <c r="BO1107">
        <v>0</v>
      </c>
      <c r="BP1107">
        <v>0</v>
      </c>
      <c r="BW1107" t="str">
        <f>"13:59:43.668"</f>
        <v>13:59:43.668</v>
      </c>
      <c r="CJ1107">
        <v>0</v>
      </c>
      <c r="CK1107">
        <v>2</v>
      </c>
      <c r="CL1107">
        <v>0</v>
      </c>
      <c r="CM1107">
        <v>2</v>
      </c>
      <c r="CN1107">
        <v>0</v>
      </c>
      <c r="CO1107">
        <v>7</v>
      </c>
      <c r="CP1107" t="s">
        <v>119</v>
      </c>
      <c r="CQ1107">
        <v>197</v>
      </c>
      <c r="CR1107">
        <v>1</v>
      </c>
      <c r="CW1107">
        <v>7586873</v>
      </c>
      <c r="CY1107">
        <v>1</v>
      </c>
      <c r="CZ1107">
        <v>0</v>
      </c>
      <c r="DA1107">
        <v>0</v>
      </c>
      <c r="DB1107">
        <v>0</v>
      </c>
      <c r="DC1107">
        <v>0</v>
      </c>
      <c r="DD1107">
        <v>1</v>
      </c>
      <c r="DE1107">
        <v>0</v>
      </c>
      <c r="DF1107">
        <v>0</v>
      </c>
      <c r="DG1107">
        <v>0</v>
      </c>
      <c r="DH1107">
        <v>0</v>
      </c>
      <c r="DI1107">
        <v>0</v>
      </c>
    </row>
    <row r="1108" spans="1:113" x14ac:dyDescent="0.3">
      <c r="A1108" t="str">
        <f>"09/28/2021 13:59:43.886"</f>
        <v>09/28/2021 13:59:43.886</v>
      </c>
      <c r="C1108" t="str">
        <f t="shared" si="53"/>
        <v>FFDFD3C0</v>
      </c>
      <c r="D1108" t="s">
        <v>120</v>
      </c>
      <c r="E1108">
        <v>12</v>
      </c>
      <c r="F1108">
        <v>1012</v>
      </c>
      <c r="G1108" t="s">
        <v>114</v>
      </c>
      <c r="J1108" t="s">
        <v>121</v>
      </c>
      <c r="K1108">
        <v>0</v>
      </c>
      <c r="L1108">
        <v>3</v>
      </c>
      <c r="M1108">
        <v>0</v>
      </c>
      <c r="N1108">
        <v>2</v>
      </c>
      <c r="O1108">
        <v>1</v>
      </c>
      <c r="P1108">
        <v>0</v>
      </c>
      <c r="Q1108">
        <v>0</v>
      </c>
      <c r="S1108" t="str">
        <f>"13:59:43.664"</f>
        <v>13:59:43.664</v>
      </c>
      <c r="T1108" t="str">
        <f>"13:59:43.164"</f>
        <v>13:59:43.164</v>
      </c>
      <c r="U1108" t="str">
        <f t="shared" si="55"/>
        <v>A92BC1</v>
      </c>
      <c r="V1108">
        <v>0</v>
      </c>
      <c r="W1108">
        <v>0</v>
      </c>
      <c r="X1108">
        <v>2</v>
      </c>
      <c r="Z1108">
        <v>0</v>
      </c>
      <c r="AA1108">
        <v>9</v>
      </c>
      <c r="AB1108">
        <v>3</v>
      </c>
      <c r="AC1108">
        <v>0</v>
      </c>
      <c r="AD1108">
        <v>10</v>
      </c>
      <c r="AE1108">
        <v>0</v>
      </c>
      <c r="AF1108">
        <v>3</v>
      </c>
      <c r="AG1108">
        <v>2</v>
      </c>
      <c r="AH1108">
        <v>0</v>
      </c>
      <c r="AI1108" t="s">
        <v>1208</v>
      </c>
      <c r="AJ1108">
        <v>45.907767</v>
      </c>
      <c r="AK1108" t="s">
        <v>1209</v>
      </c>
      <c r="AL1108">
        <v>-89.067535000000007</v>
      </c>
      <c r="AM1108">
        <v>100</v>
      </c>
      <c r="AN1108">
        <v>15600</v>
      </c>
      <c r="AO1108" t="s">
        <v>118</v>
      </c>
      <c r="AP1108">
        <v>115</v>
      </c>
      <c r="AQ1108">
        <v>94</v>
      </c>
      <c r="AR1108">
        <v>-128</v>
      </c>
      <c r="AZ1108">
        <v>1200</v>
      </c>
      <c r="BA1108">
        <v>1</v>
      </c>
      <c r="BB1108" t="str">
        <f t="shared" si="54"/>
        <v xml:space="preserve">N690LS  </v>
      </c>
      <c r="BC1108">
        <v>1</v>
      </c>
      <c r="BE1108">
        <v>0</v>
      </c>
      <c r="BF1108">
        <v>0</v>
      </c>
      <c r="BG1108">
        <v>0</v>
      </c>
      <c r="BH1108">
        <v>16075</v>
      </c>
      <c r="BI1108">
        <v>1</v>
      </c>
      <c r="BJ1108">
        <v>1</v>
      </c>
      <c r="BK1108">
        <v>1</v>
      </c>
      <c r="BL1108">
        <v>0</v>
      </c>
      <c r="BO1108">
        <v>0</v>
      </c>
      <c r="BP1108">
        <v>0</v>
      </c>
      <c r="BW1108" t="str">
        <f>"13:59:43.668"</f>
        <v>13:59:43.668</v>
      </c>
      <c r="CJ1108">
        <v>0</v>
      </c>
      <c r="CK1108">
        <v>2</v>
      </c>
      <c r="CL1108">
        <v>0</v>
      </c>
      <c r="CM1108">
        <v>2</v>
      </c>
      <c r="CN1108">
        <v>0</v>
      </c>
      <c r="CO1108">
        <v>7</v>
      </c>
      <c r="CP1108" t="s">
        <v>119</v>
      </c>
      <c r="CQ1108">
        <v>197</v>
      </c>
      <c r="CR1108">
        <v>1</v>
      </c>
      <c r="CW1108">
        <v>7586873</v>
      </c>
      <c r="CY1108">
        <v>1</v>
      </c>
      <c r="CZ1108">
        <v>0</v>
      </c>
      <c r="DA1108">
        <v>1</v>
      </c>
      <c r="DB1108">
        <v>0</v>
      </c>
      <c r="DC1108">
        <v>0</v>
      </c>
      <c r="DD1108">
        <v>1</v>
      </c>
      <c r="DE1108">
        <v>0</v>
      </c>
      <c r="DF1108">
        <v>0</v>
      </c>
      <c r="DG1108">
        <v>0</v>
      </c>
      <c r="DH1108">
        <v>0</v>
      </c>
      <c r="DI1108">
        <v>0</v>
      </c>
    </row>
    <row r="1109" spans="1:113" x14ac:dyDescent="0.3">
      <c r="A1109" t="str">
        <f>"09/28/2021 13:59:44.919"</f>
        <v>09/28/2021 13:59:44.919</v>
      </c>
      <c r="C1109" t="str">
        <f t="shared" si="53"/>
        <v>FFDFD3C0</v>
      </c>
      <c r="D1109" t="s">
        <v>113</v>
      </c>
      <c r="E1109">
        <v>7</v>
      </c>
      <c r="H1109">
        <v>170</v>
      </c>
      <c r="I1109" t="s">
        <v>114</v>
      </c>
      <c r="J1109" t="s">
        <v>115</v>
      </c>
      <c r="K1109">
        <v>0</v>
      </c>
      <c r="L1109">
        <v>3</v>
      </c>
      <c r="M1109">
        <v>0</v>
      </c>
      <c r="N1109">
        <v>2</v>
      </c>
      <c r="O1109">
        <v>1</v>
      </c>
      <c r="P1109">
        <v>0</v>
      </c>
      <c r="Q1109">
        <v>0</v>
      </c>
      <c r="S1109" t="str">
        <f>"13:59:44.695"</f>
        <v>13:59:44.695</v>
      </c>
      <c r="T1109" t="str">
        <f>"13:59:44.195"</f>
        <v>13:59:44.195</v>
      </c>
      <c r="U1109" t="str">
        <f t="shared" si="55"/>
        <v>A92BC1</v>
      </c>
      <c r="V1109">
        <v>0</v>
      </c>
      <c r="W1109">
        <v>0</v>
      </c>
      <c r="X1109">
        <v>2</v>
      </c>
      <c r="Z1109">
        <v>0</v>
      </c>
      <c r="AA1109">
        <v>9</v>
      </c>
      <c r="AB1109">
        <v>3</v>
      </c>
      <c r="AC1109">
        <v>0</v>
      </c>
      <c r="AD1109">
        <v>10</v>
      </c>
      <c r="AE1109">
        <v>0</v>
      </c>
      <c r="AF1109">
        <v>3</v>
      </c>
      <c r="AG1109">
        <v>2</v>
      </c>
      <c r="AH1109">
        <v>0</v>
      </c>
      <c r="AI1109" t="s">
        <v>1210</v>
      </c>
      <c r="AJ1109">
        <v>45.908195999999997</v>
      </c>
      <c r="AK1109" t="s">
        <v>1211</v>
      </c>
      <c r="AL1109">
        <v>-89.066783999999998</v>
      </c>
      <c r="AM1109">
        <v>100</v>
      </c>
      <c r="AN1109">
        <v>15600</v>
      </c>
      <c r="AO1109" t="s">
        <v>118</v>
      </c>
      <c r="AP1109">
        <v>114</v>
      </c>
      <c r="AQ1109">
        <v>93</v>
      </c>
      <c r="AR1109">
        <v>-128</v>
      </c>
      <c r="AZ1109">
        <v>1200</v>
      </c>
      <c r="BA1109">
        <v>1</v>
      </c>
      <c r="BB1109" t="str">
        <f t="shared" si="54"/>
        <v xml:space="preserve">N690LS  </v>
      </c>
      <c r="BC1109">
        <v>1</v>
      </c>
      <c r="BE1109">
        <v>0</v>
      </c>
      <c r="BF1109">
        <v>0</v>
      </c>
      <c r="BG1109">
        <v>0</v>
      </c>
      <c r="BH1109">
        <v>16075</v>
      </c>
      <c r="BI1109">
        <v>1</v>
      </c>
      <c r="BJ1109">
        <v>1</v>
      </c>
      <c r="BK1109">
        <v>1</v>
      </c>
      <c r="BL1109">
        <v>0</v>
      </c>
      <c r="BO1109">
        <v>0</v>
      </c>
      <c r="BP1109">
        <v>0</v>
      </c>
      <c r="BW1109" t="str">
        <f>"13:59:44.700"</f>
        <v>13:59:44.700</v>
      </c>
      <c r="CJ1109">
        <v>0</v>
      </c>
      <c r="CK1109">
        <v>2</v>
      </c>
      <c r="CL1109">
        <v>0</v>
      </c>
      <c r="CM1109">
        <v>2</v>
      </c>
      <c r="CN1109">
        <v>0</v>
      </c>
      <c r="CO1109">
        <v>7</v>
      </c>
      <c r="CP1109" t="s">
        <v>119</v>
      </c>
      <c r="CQ1109">
        <v>209</v>
      </c>
      <c r="CR1109">
        <v>3</v>
      </c>
      <c r="CW1109">
        <v>7284768</v>
      </c>
      <c r="CY1109">
        <v>1</v>
      </c>
      <c r="CZ1109">
        <v>0</v>
      </c>
      <c r="DA1109">
        <v>0</v>
      </c>
      <c r="DB1109">
        <v>0</v>
      </c>
      <c r="DC1109">
        <v>0</v>
      </c>
      <c r="DD1109">
        <v>1</v>
      </c>
      <c r="DE1109">
        <v>0</v>
      </c>
      <c r="DF1109">
        <v>0</v>
      </c>
      <c r="DG1109">
        <v>0</v>
      </c>
      <c r="DH1109">
        <v>0</v>
      </c>
      <c r="DI1109">
        <v>0</v>
      </c>
    </row>
    <row r="1110" spans="1:113" x14ac:dyDescent="0.3">
      <c r="A1110" t="str">
        <f>"09/28/2021 13:59:44.919"</f>
        <v>09/28/2021 13:59:44.919</v>
      </c>
      <c r="C1110" t="str">
        <f t="shared" si="53"/>
        <v>FFDFD3C0</v>
      </c>
      <c r="D1110" t="s">
        <v>120</v>
      </c>
      <c r="E1110">
        <v>12</v>
      </c>
      <c r="F1110">
        <v>1012</v>
      </c>
      <c r="G1110" t="s">
        <v>114</v>
      </c>
      <c r="J1110" t="s">
        <v>121</v>
      </c>
      <c r="K1110">
        <v>0</v>
      </c>
      <c r="L1110">
        <v>3</v>
      </c>
      <c r="M1110">
        <v>0</v>
      </c>
      <c r="N1110">
        <v>2</v>
      </c>
      <c r="O1110">
        <v>1</v>
      </c>
      <c r="P1110">
        <v>0</v>
      </c>
      <c r="Q1110">
        <v>0</v>
      </c>
      <c r="S1110" t="str">
        <f>"13:59:44.695"</f>
        <v>13:59:44.695</v>
      </c>
      <c r="T1110" t="str">
        <f>"13:59:44.195"</f>
        <v>13:59:44.195</v>
      </c>
      <c r="U1110" t="str">
        <f t="shared" si="55"/>
        <v>A92BC1</v>
      </c>
      <c r="V1110">
        <v>0</v>
      </c>
      <c r="W1110">
        <v>0</v>
      </c>
      <c r="X1110">
        <v>2</v>
      </c>
      <c r="Z1110">
        <v>0</v>
      </c>
      <c r="AA1110">
        <v>9</v>
      </c>
      <c r="AB1110">
        <v>3</v>
      </c>
      <c r="AC1110">
        <v>0</v>
      </c>
      <c r="AD1110">
        <v>10</v>
      </c>
      <c r="AE1110">
        <v>0</v>
      </c>
      <c r="AF1110">
        <v>3</v>
      </c>
      <c r="AG1110">
        <v>2</v>
      </c>
      <c r="AH1110">
        <v>0</v>
      </c>
      <c r="AI1110" t="s">
        <v>1210</v>
      </c>
      <c r="AJ1110">
        <v>45.908195999999997</v>
      </c>
      <c r="AK1110" t="s">
        <v>1211</v>
      </c>
      <c r="AL1110">
        <v>-89.066783999999998</v>
      </c>
      <c r="AM1110">
        <v>100</v>
      </c>
      <c r="AN1110">
        <v>15600</v>
      </c>
      <c r="AO1110" t="s">
        <v>118</v>
      </c>
      <c r="AP1110">
        <v>114</v>
      </c>
      <c r="AQ1110">
        <v>93</v>
      </c>
      <c r="AR1110">
        <v>-128</v>
      </c>
      <c r="AZ1110">
        <v>1200</v>
      </c>
      <c r="BA1110">
        <v>1</v>
      </c>
      <c r="BB1110" t="str">
        <f t="shared" si="54"/>
        <v xml:space="preserve">N690LS  </v>
      </c>
      <c r="BC1110">
        <v>1</v>
      </c>
      <c r="BE1110">
        <v>0</v>
      </c>
      <c r="BF1110">
        <v>0</v>
      </c>
      <c r="BG1110">
        <v>0</v>
      </c>
      <c r="BH1110">
        <v>16075</v>
      </c>
      <c r="BI1110">
        <v>1</v>
      </c>
      <c r="BJ1110">
        <v>1</v>
      </c>
      <c r="BK1110">
        <v>1</v>
      </c>
      <c r="BL1110">
        <v>0</v>
      </c>
      <c r="BO1110">
        <v>0</v>
      </c>
      <c r="BP1110">
        <v>0</v>
      </c>
      <c r="BW1110" t="str">
        <f>"13:59:44.700"</f>
        <v>13:59:44.700</v>
      </c>
      <c r="CJ1110">
        <v>0</v>
      </c>
      <c r="CK1110">
        <v>2</v>
      </c>
      <c r="CL1110">
        <v>0</v>
      </c>
      <c r="CM1110">
        <v>2</v>
      </c>
      <c r="CN1110">
        <v>0</v>
      </c>
      <c r="CO1110">
        <v>7</v>
      </c>
      <c r="CP1110" t="s">
        <v>119</v>
      </c>
      <c r="CQ1110">
        <v>209</v>
      </c>
      <c r="CR1110">
        <v>3</v>
      </c>
      <c r="CW1110">
        <v>7284768</v>
      </c>
      <c r="CY1110">
        <v>1</v>
      </c>
      <c r="CZ1110">
        <v>0</v>
      </c>
      <c r="DA1110">
        <v>1</v>
      </c>
      <c r="DB1110">
        <v>0</v>
      </c>
      <c r="DC1110">
        <v>0</v>
      </c>
      <c r="DD1110">
        <v>1</v>
      </c>
      <c r="DE1110">
        <v>0</v>
      </c>
      <c r="DF1110">
        <v>0</v>
      </c>
      <c r="DG1110">
        <v>0</v>
      </c>
      <c r="DH1110">
        <v>0</v>
      </c>
      <c r="DI1110">
        <v>0</v>
      </c>
    </row>
    <row r="1111" spans="1:113" x14ac:dyDescent="0.3">
      <c r="A1111" t="str">
        <f>"09/28/2021 13:59:45.888"</f>
        <v>09/28/2021 13:59:45.888</v>
      </c>
      <c r="C1111" t="str">
        <f t="shared" si="53"/>
        <v>FFDFD3C0</v>
      </c>
      <c r="D1111" t="s">
        <v>113</v>
      </c>
      <c r="E1111">
        <v>7</v>
      </c>
      <c r="H1111">
        <v>170</v>
      </c>
      <c r="I1111" t="s">
        <v>114</v>
      </c>
      <c r="J1111" t="s">
        <v>115</v>
      </c>
      <c r="K1111">
        <v>0</v>
      </c>
      <c r="L1111">
        <v>3</v>
      </c>
      <c r="M1111">
        <v>0</v>
      </c>
      <c r="N1111">
        <v>2</v>
      </c>
      <c r="O1111">
        <v>1</v>
      </c>
      <c r="P1111">
        <v>0</v>
      </c>
      <c r="Q1111">
        <v>0</v>
      </c>
      <c r="S1111" t="str">
        <f>"13:59:45.672"</f>
        <v>13:59:45.672</v>
      </c>
      <c r="T1111" t="str">
        <f>"13:59:45.272"</f>
        <v>13:59:45.272</v>
      </c>
      <c r="U1111" t="str">
        <f t="shared" si="55"/>
        <v>A92BC1</v>
      </c>
      <c r="V1111">
        <v>0</v>
      </c>
      <c r="W1111">
        <v>0</v>
      </c>
      <c r="X1111">
        <v>2</v>
      </c>
      <c r="Z1111">
        <v>0</v>
      </c>
      <c r="AA1111">
        <v>9</v>
      </c>
      <c r="AB1111">
        <v>3</v>
      </c>
      <c r="AC1111">
        <v>0</v>
      </c>
      <c r="AD1111">
        <v>10</v>
      </c>
      <c r="AE1111">
        <v>0</v>
      </c>
      <c r="AF1111">
        <v>3</v>
      </c>
      <c r="AG1111">
        <v>2</v>
      </c>
      <c r="AH1111">
        <v>0</v>
      </c>
      <c r="AI1111" t="s">
        <v>1212</v>
      </c>
      <c r="AJ1111">
        <v>45.908647000000002</v>
      </c>
      <c r="AK1111" t="s">
        <v>1213</v>
      </c>
      <c r="AL1111">
        <v>-89.066033000000004</v>
      </c>
      <c r="AM1111">
        <v>100</v>
      </c>
      <c r="AN1111">
        <v>15600</v>
      </c>
      <c r="AO1111" t="s">
        <v>118</v>
      </c>
      <c r="AP1111">
        <v>113</v>
      </c>
      <c r="AQ1111">
        <v>92</v>
      </c>
      <c r="AR1111">
        <v>-128</v>
      </c>
      <c r="AZ1111">
        <v>1200</v>
      </c>
      <c r="BA1111">
        <v>1</v>
      </c>
      <c r="BB1111" t="str">
        <f t="shared" si="54"/>
        <v xml:space="preserve">N690LS  </v>
      </c>
      <c r="BC1111">
        <v>1</v>
      </c>
      <c r="BE1111">
        <v>0</v>
      </c>
      <c r="BF1111">
        <v>0</v>
      </c>
      <c r="BG1111">
        <v>0</v>
      </c>
      <c r="BH1111">
        <v>16075</v>
      </c>
      <c r="BI1111">
        <v>1</v>
      </c>
      <c r="BJ1111">
        <v>1</v>
      </c>
      <c r="BK1111">
        <v>1</v>
      </c>
      <c r="BL1111">
        <v>0</v>
      </c>
      <c r="BO1111">
        <v>0</v>
      </c>
      <c r="BP1111">
        <v>0</v>
      </c>
      <c r="BW1111" t="str">
        <f>"13:59:45.672"</f>
        <v>13:59:45.672</v>
      </c>
      <c r="CJ1111">
        <v>0</v>
      </c>
      <c r="CK1111">
        <v>2</v>
      </c>
      <c r="CL1111">
        <v>0</v>
      </c>
      <c r="CM1111">
        <v>2</v>
      </c>
      <c r="CN1111">
        <v>0</v>
      </c>
      <c r="CO1111">
        <v>7</v>
      </c>
      <c r="CP1111" t="s">
        <v>119</v>
      </c>
      <c r="CQ1111">
        <v>209</v>
      </c>
      <c r="CR1111">
        <v>3</v>
      </c>
      <c r="CW1111">
        <v>7285125</v>
      </c>
      <c r="CY1111">
        <v>1</v>
      </c>
      <c r="CZ1111">
        <v>0</v>
      </c>
      <c r="DA1111">
        <v>0</v>
      </c>
      <c r="DB1111">
        <v>0</v>
      </c>
      <c r="DC1111">
        <v>0</v>
      </c>
      <c r="DD1111">
        <v>1</v>
      </c>
      <c r="DE1111">
        <v>0</v>
      </c>
      <c r="DF1111">
        <v>0</v>
      </c>
      <c r="DG1111">
        <v>0</v>
      </c>
      <c r="DH1111">
        <v>0</v>
      </c>
      <c r="DI1111">
        <v>0</v>
      </c>
    </row>
    <row r="1112" spans="1:113" x14ac:dyDescent="0.3">
      <c r="A1112" t="str">
        <f>"09/28/2021 13:59:45.888"</f>
        <v>09/28/2021 13:59:45.888</v>
      </c>
      <c r="C1112" t="str">
        <f t="shared" si="53"/>
        <v>FFDFD3C0</v>
      </c>
      <c r="D1112" t="s">
        <v>120</v>
      </c>
      <c r="E1112">
        <v>12</v>
      </c>
      <c r="F1112">
        <v>1012</v>
      </c>
      <c r="G1112" t="s">
        <v>114</v>
      </c>
      <c r="J1112" t="s">
        <v>121</v>
      </c>
      <c r="K1112">
        <v>0</v>
      </c>
      <c r="L1112">
        <v>3</v>
      </c>
      <c r="M1112">
        <v>0</v>
      </c>
      <c r="N1112">
        <v>2</v>
      </c>
      <c r="O1112">
        <v>1</v>
      </c>
      <c r="P1112">
        <v>0</v>
      </c>
      <c r="Q1112">
        <v>0</v>
      </c>
      <c r="S1112" t="str">
        <f>"13:59:45.672"</f>
        <v>13:59:45.672</v>
      </c>
      <c r="T1112" t="str">
        <f>"13:59:45.272"</f>
        <v>13:59:45.272</v>
      </c>
      <c r="U1112" t="str">
        <f t="shared" si="55"/>
        <v>A92BC1</v>
      </c>
      <c r="V1112">
        <v>0</v>
      </c>
      <c r="W1112">
        <v>0</v>
      </c>
      <c r="X1112">
        <v>2</v>
      </c>
      <c r="Z1112">
        <v>0</v>
      </c>
      <c r="AA1112">
        <v>9</v>
      </c>
      <c r="AB1112">
        <v>3</v>
      </c>
      <c r="AC1112">
        <v>0</v>
      </c>
      <c r="AD1112">
        <v>10</v>
      </c>
      <c r="AE1112">
        <v>0</v>
      </c>
      <c r="AF1112">
        <v>3</v>
      </c>
      <c r="AG1112">
        <v>2</v>
      </c>
      <c r="AH1112">
        <v>0</v>
      </c>
      <c r="AI1112" t="s">
        <v>1212</v>
      </c>
      <c r="AJ1112">
        <v>45.908647000000002</v>
      </c>
      <c r="AK1112" t="s">
        <v>1213</v>
      </c>
      <c r="AL1112">
        <v>-89.066033000000004</v>
      </c>
      <c r="AM1112">
        <v>100</v>
      </c>
      <c r="AN1112">
        <v>15600</v>
      </c>
      <c r="AO1112" t="s">
        <v>118</v>
      </c>
      <c r="AP1112">
        <v>113</v>
      </c>
      <c r="AQ1112">
        <v>92</v>
      </c>
      <c r="AR1112">
        <v>-128</v>
      </c>
      <c r="AZ1112">
        <v>1200</v>
      </c>
      <c r="BA1112">
        <v>1</v>
      </c>
      <c r="BB1112" t="str">
        <f t="shared" si="54"/>
        <v xml:space="preserve">N690LS  </v>
      </c>
      <c r="BC1112">
        <v>1</v>
      </c>
      <c r="BE1112">
        <v>0</v>
      </c>
      <c r="BF1112">
        <v>0</v>
      </c>
      <c r="BG1112">
        <v>0</v>
      </c>
      <c r="BH1112">
        <v>16075</v>
      </c>
      <c r="BI1112">
        <v>1</v>
      </c>
      <c r="BJ1112">
        <v>1</v>
      </c>
      <c r="BK1112">
        <v>1</v>
      </c>
      <c r="BL1112">
        <v>0</v>
      </c>
      <c r="BO1112">
        <v>0</v>
      </c>
      <c r="BP1112">
        <v>0</v>
      </c>
      <c r="BW1112" t="str">
        <f>"13:59:45.672"</f>
        <v>13:59:45.672</v>
      </c>
      <c r="CJ1112">
        <v>0</v>
      </c>
      <c r="CK1112">
        <v>2</v>
      </c>
      <c r="CL1112">
        <v>0</v>
      </c>
      <c r="CM1112">
        <v>2</v>
      </c>
      <c r="CN1112">
        <v>0</v>
      </c>
      <c r="CO1112">
        <v>7</v>
      </c>
      <c r="CP1112" t="s">
        <v>119</v>
      </c>
      <c r="CQ1112">
        <v>209</v>
      </c>
      <c r="CR1112">
        <v>3</v>
      </c>
      <c r="CW1112">
        <v>7285125</v>
      </c>
      <c r="CY1112">
        <v>1</v>
      </c>
      <c r="CZ1112">
        <v>0</v>
      </c>
      <c r="DA1112">
        <v>1</v>
      </c>
      <c r="DB1112">
        <v>0</v>
      </c>
      <c r="DC1112">
        <v>0</v>
      </c>
      <c r="DD1112">
        <v>1</v>
      </c>
      <c r="DE1112">
        <v>0</v>
      </c>
      <c r="DF1112">
        <v>0</v>
      </c>
      <c r="DG1112">
        <v>0</v>
      </c>
      <c r="DH1112">
        <v>0</v>
      </c>
      <c r="DI1112">
        <v>0</v>
      </c>
    </row>
    <row r="1113" spans="1:113" x14ac:dyDescent="0.3">
      <c r="A1113" t="str">
        <f>"09/28/2021 13:59:46.777"</f>
        <v>09/28/2021 13:59:46.777</v>
      </c>
      <c r="C1113" t="str">
        <f t="shared" si="53"/>
        <v>FFDFD3C0</v>
      </c>
      <c r="D1113" t="s">
        <v>120</v>
      </c>
      <c r="E1113">
        <v>12</v>
      </c>
      <c r="F1113">
        <v>1012</v>
      </c>
      <c r="G1113" t="s">
        <v>114</v>
      </c>
      <c r="J1113" t="s">
        <v>121</v>
      </c>
      <c r="K1113">
        <v>0</v>
      </c>
      <c r="L1113">
        <v>3</v>
      </c>
      <c r="M1113">
        <v>0</v>
      </c>
      <c r="N1113">
        <v>2</v>
      </c>
      <c r="O1113">
        <v>1</v>
      </c>
      <c r="P1113">
        <v>0</v>
      </c>
      <c r="Q1113">
        <v>0</v>
      </c>
      <c r="S1113" t="str">
        <f>"13:59:46.539"</f>
        <v>13:59:46.539</v>
      </c>
      <c r="T1113" t="str">
        <f>"13:59:46.139"</f>
        <v>13:59:46.139</v>
      </c>
      <c r="U1113" t="str">
        <f t="shared" si="55"/>
        <v>A92BC1</v>
      </c>
      <c r="V1113">
        <v>0</v>
      </c>
      <c r="W1113">
        <v>0</v>
      </c>
      <c r="X1113">
        <v>2</v>
      </c>
      <c r="Z1113">
        <v>0</v>
      </c>
      <c r="AA1113">
        <v>9</v>
      </c>
      <c r="AB1113">
        <v>3</v>
      </c>
      <c r="AC1113">
        <v>0</v>
      </c>
      <c r="AD1113">
        <v>10</v>
      </c>
      <c r="AE1113">
        <v>0</v>
      </c>
      <c r="AF1113">
        <v>3</v>
      </c>
      <c r="AG1113">
        <v>2</v>
      </c>
      <c r="AH1113">
        <v>0</v>
      </c>
      <c r="AI1113" t="s">
        <v>1214</v>
      </c>
      <c r="AJ1113">
        <v>45.909033000000001</v>
      </c>
      <c r="AK1113" t="s">
        <v>1215</v>
      </c>
      <c r="AL1113">
        <v>-89.065368000000007</v>
      </c>
      <c r="AM1113">
        <v>100</v>
      </c>
      <c r="AN1113">
        <v>15600</v>
      </c>
      <c r="AO1113" t="s">
        <v>118</v>
      </c>
      <c r="AP1113">
        <v>112</v>
      </c>
      <c r="AQ1113">
        <v>91</v>
      </c>
      <c r="AR1113">
        <v>-128</v>
      </c>
      <c r="AZ1113">
        <v>1200</v>
      </c>
      <c r="BA1113">
        <v>1</v>
      </c>
      <c r="BB1113" t="str">
        <f t="shared" si="54"/>
        <v xml:space="preserve">N690LS  </v>
      </c>
      <c r="BC1113">
        <v>1</v>
      </c>
      <c r="BE1113">
        <v>0</v>
      </c>
      <c r="BF1113">
        <v>0</v>
      </c>
      <c r="BG1113">
        <v>0</v>
      </c>
      <c r="BH1113">
        <v>16075</v>
      </c>
      <c r="BI1113">
        <v>1</v>
      </c>
      <c r="BJ1113">
        <v>1</v>
      </c>
      <c r="BK1113">
        <v>1</v>
      </c>
      <c r="BL1113">
        <v>0</v>
      </c>
      <c r="BO1113">
        <v>0</v>
      </c>
      <c r="BP1113">
        <v>0</v>
      </c>
      <c r="BW1113" t="str">
        <f>"13:59:46.544"</f>
        <v>13:59:46.544</v>
      </c>
      <c r="CJ1113">
        <v>0</v>
      </c>
      <c r="CK1113">
        <v>2</v>
      </c>
      <c r="CL1113">
        <v>0</v>
      </c>
      <c r="CM1113">
        <v>2</v>
      </c>
      <c r="CN1113">
        <v>0</v>
      </c>
      <c r="CO1113">
        <v>7</v>
      </c>
      <c r="CP1113" t="s">
        <v>119</v>
      </c>
      <c r="CQ1113">
        <v>197</v>
      </c>
      <c r="CR1113">
        <v>1</v>
      </c>
      <c r="CW1113">
        <v>7590402</v>
      </c>
      <c r="CY1113">
        <v>1</v>
      </c>
      <c r="CZ1113">
        <v>0</v>
      </c>
      <c r="DA1113">
        <v>0</v>
      </c>
      <c r="DB1113">
        <v>0</v>
      </c>
      <c r="DC1113">
        <v>0</v>
      </c>
      <c r="DD1113">
        <v>1</v>
      </c>
      <c r="DE1113">
        <v>0</v>
      </c>
      <c r="DF1113">
        <v>0</v>
      </c>
      <c r="DG1113">
        <v>0</v>
      </c>
      <c r="DH1113">
        <v>0</v>
      </c>
      <c r="DI1113">
        <v>0</v>
      </c>
    </row>
    <row r="1114" spans="1:113" x14ac:dyDescent="0.3">
      <c r="A1114" t="str">
        <f>"09/28/2021 13:59:46.792"</f>
        <v>09/28/2021 13:59:46.792</v>
      </c>
      <c r="C1114" t="str">
        <f t="shared" si="53"/>
        <v>FFDFD3C0</v>
      </c>
      <c r="D1114" t="s">
        <v>113</v>
      </c>
      <c r="E1114">
        <v>7</v>
      </c>
      <c r="H1114">
        <v>170</v>
      </c>
      <c r="I1114" t="s">
        <v>114</v>
      </c>
      <c r="J1114" t="s">
        <v>115</v>
      </c>
      <c r="K1114">
        <v>0</v>
      </c>
      <c r="L1114">
        <v>3</v>
      </c>
      <c r="M1114">
        <v>0</v>
      </c>
      <c r="N1114">
        <v>2</v>
      </c>
      <c r="O1114">
        <v>1</v>
      </c>
      <c r="P1114">
        <v>0</v>
      </c>
      <c r="Q1114">
        <v>0</v>
      </c>
      <c r="S1114" t="str">
        <f>"13:59:46.539"</f>
        <v>13:59:46.539</v>
      </c>
      <c r="T1114" t="str">
        <f>"13:59:46.139"</f>
        <v>13:59:46.139</v>
      </c>
      <c r="U1114" t="str">
        <f t="shared" si="55"/>
        <v>A92BC1</v>
      </c>
      <c r="V1114">
        <v>0</v>
      </c>
      <c r="W1114">
        <v>0</v>
      </c>
      <c r="X1114">
        <v>2</v>
      </c>
      <c r="Z1114">
        <v>0</v>
      </c>
      <c r="AA1114">
        <v>9</v>
      </c>
      <c r="AB1114">
        <v>3</v>
      </c>
      <c r="AC1114">
        <v>0</v>
      </c>
      <c r="AD1114">
        <v>10</v>
      </c>
      <c r="AE1114">
        <v>0</v>
      </c>
      <c r="AF1114">
        <v>3</v>
      </c>
      <c r="AG1114">
        <v>2</v>
      </c>
      <c r="AH1114">
        <v>0</v>
      </c>
      <c r="AI1114" t="s">
        <v>1214</v>
      </c>
      <c r="AJ1114">
        <v>45.909033000000001</v>
      </c>
      <c r="AK1114" t="s">
        <v>1215</v>
      </c>
      <c r="AL1114">
        <v>-89.065368000000007</v>
      </c>
      <c r="AM1114">
        <v>100</v>
      </c>
      <c r="AN1114">
        <v>15600</v>
      </c>
      <c r="AO1114" t="s">
        <v>118</v>
      </c>
      <c r="AP1114">
        <v>112</v>
      </c>
      <c r="AQ1114">
        <v>91</v>
      </c>
      <c r="AR1114">
        <v>-128</v>
      </c>
      <c r="AZ1114">
        <v>1200</v>
      </c>
      <c r="BA1114">
        <v>1</v>
      </c>
      <c r="BB1114" t="str">
        <f t="shared" si="54"/>
        <v xml:space="preserve">N690LS  </v>
      </c>
      <c r="BC1114">
        <v>1</v>
      </c>
      <c r="BE1114">
        <v>0</v>
      </c>
      <c r="BF1114">
        <v>0</v>
      </c>
      <c r="BG1114">
        <v>0</v>
      </c>
      <c r="BH1114">
        <v>16075</v>
      </c>
      <c r="BI1114">
        <v>1</v>
      </c>
      <c r="BJ1114">
        <v>1</v>
      </c>
      <c r="BK1114">
        <v>1</v>
      </c>
      <c r="BL1114">
        <v>0</v>
      </c>
      <c r="BO1114">
        <v>0</v>
      </c>
      <c r="BP1114">
        <v>0</v>
      </c>
      <c r="BW1114" t="str">
        <f>"13:59:46.544"</f>
        <v>13:59:46.544</v>
      </c>
      <c r="CJ1114">
        <v>0</v>
      </c>
      <c r="CK1114">
        <v>2</v>
      </c>
      <c r="CL1114">
        <v>0</v>
      </c>
      <c r="CM1114">
        <v>2</v>
      </c>
      <c r="CN1114">
        <v>0</v>
      </c>
      <c r="CO1114">
        <v>7</v>
      </c>
      <c r="CP1114" t="s">
        <v>119</v>
      </c>
      <c r="CQ1114">
        <v>197</v>
      </c>
      <c r="CR1114">
        <v>1</v>
      </c>
      <c r="CW1114">
        <v>7590402</v>
      </c>
      <c r="CY1114">
        <v>1</v>
      </c>
      <c r="CZ1114">
        <v>0</v>
      </c>
      <c r="DA1114">
        <v>1</v>
      </c>
      <c r="DB1114">
        <v>0</v>
      </c>
      <c r="DC1114">
        <v>0</v>
      </c>
      <c r="DD1114">
        <v>1</v>
      </c>
      <c r="DE1114">
        <v>0</v>
      </c>
      <c r="DF1114">
        <v>0</v>
      </c>
      <c r="DG1114">
        <v>0</v>
      </c>
      <c r="DH1114">
        <v>0</v>
      </c>
      <c r="DI1114">
        <v>0</v>
      </c>
    </row>
    <row r="1115" spans="1:113" x14ac:dyDescent="0.3">
      <c r="A1115" t="str">
        <f>"09/28/2021 13:59:47.854"</f>
        <v>09/28/2021 13:59:47.854</v>
      </c>
      <c r="C1115" t="str">
        <f t="shared" si="53"/>
        <v>FFDFD3C0</v>
      </c>
      <c r="D1115" t="s">
        <v>113</v>
      </c>
      <c r="E1115">
        <v>7</v>
      </c>
      <c r="H1115">
        <v>170</v>
      </c>
      <c r="I1115" t="s">
        <v>114</v>
      </c>
      <c r="J1115" t="s">
        <v>115</v>
      </c>
      <c r="K1115">
        <v>0</v>
      </c>
      <c r="L1115">
        <v>3</v>
      </c>
      <c r="M1115">
        <v>0</v>
      </c>
      <c r="N1115">
        <v>2</v>
      </c>
      <c r="O1115">
        <v>1</v>
      </c>
      <c r="P1115">
        <v>0</v>
      </c>
      <c r="Q1115">
        <v>0</v>
      </c>
      <c r="S1115" t="str">
        <f>"13:59:47.648"</f>
        <v>13:59:47.648</v>
      </c>
      <c r="T1115" t="str">
        <f>"13:59:47.148"</f>
        <v>13:59:47.148</v>
      </c>
      <c r="U1115" t="str">
        <f t="shared" si="55"/>
        <v>A92BC1</v>
      </c>
      <c r="V1115">
        <v>0</v>
      </c>
      <c r="W1115">
        <v>0</v>
      </c>
      <c r="X1115">
        <v>2</v>
      </c>
      <c r="Z1115">
        <v>0</v>
      </c>
      <c r="AA1115">
        <v>9</v>
      </c>
      <c r="AB1115">
        <v>3</v>
      </c>
      <c r="AC1115">
        <v>0</v>
      </c>
      <c r="AD1115">
        <v>10</v>
      </c>
      <c r="AE1115">
        <v>0</v>
      </c>
      <c r="AF1115">
        <v>3</v>
      </c>
      <c r="AG1115">
        <v>2</v>
      </c>
      <c r="AH1115">
        <v>0</v>
      </c>
      <c r="AI1115" t="s">
        <v>1216</v>
      </c>
      <c r="AJ1115">
        <v>45.909483000000002</v>
      </c>
      <c r="AK1115" t="s">
        <v>1217</v>
      </c>
      <c r="AL1115">
        <v>-89.064509999999999</v>
      </c>
      <c r="AM1115">
        <v>100</v>
      </c>
      <c r="AN1115">
        <v>15600</v>
      </c>
      <c r="AO1115" t="s">
        <v>118</v>
      </c>
      <c r="AP1115">
        <v>111</v>
      </c>
      <c r="AQ1115">
        <v>90</v>
      </c>
      <c r="AR1115">
        <v>-128</v>
      </c>
      <c r="AZ1115">
        <v>1200</v>
      </c>
      <c r="BA1115">
        <v>1</v>
      </c>
      <c r="BB1115" t="str">
        <f t="shared" si="54"/>
        <v xml:space="preserve">N690LS  </v>
      </c>
      <c r="BC1115">
        <v>1</v>
      </c>
      <c r="BE1115">
        <v>0</v>
      </c>
      <c r="BF1115">
        <v>0</v>
      </c>
      <c r="BG1115">
        <v>0</v>
      </c>
      <c r="BH1115">
        <v>16075</v>
      </c>
      <c r="BI1115">
        <v>1</v>
      </c>
      <c r="BJ1115">
        <v>1</v>
      </c>
      <c r="BK1115">
        <v>1</v>
      </c>
      <c r="BL1115">
        <v>0</v>
      </c>
      <c r="BO1115">
        <v>0</v>
      </c>
      <c r="BP1115">
        <v>0</v>
      </c>
      <c r="BW1115" t="str">
        <f>"13:59:47.650"</f>
        <v>13:59:47.650</v>
      </c>
      <c r="CJ1115">
        <v>0</v>
      </c>
      <c r="CK1115">
        <v>2</v>
      </c>
      <c r="CL1115">
        <v>0</v>
      </c>
      <c r="CM1115">
        <v>2</v>
      </c>
      <c r="CN1115">
        <v>0</v>
      </c>
      <c r="CO1115">
        <v>7</v>
      </c>
      <c r="CP1115" t="s">
        <v>119</v>
      </c>
      <c r="CQ1115">
        <v>209</v>
      </c>
      <c r="CR1115">
        <v>3</v>
      </c>
      <c r="CW1115">
        <v>7285792</v>
      </c>
      <c r="CY1115">
        <v>1</v>
      </c>
      <c r="CZ1115">
        <v>0</v>
      </c>
      <c r="DA1115">
        <v>0</v>
      </c>
      <c r="DB1115">
        <v>0</v>
      </c>
      <c r="DC1115">
        <v>0</v>
      </c>
      <c r="DD1115">
        <v>1</v>
      </c>
      <c r="DE1115">
        <v>0</v>
      </c>
      <c r="DF1115">
        <v>0</v>
      </c>
      <c r="DG1115">
        <v>0</v>
      </c>
      <c r="DH1115">
        <v>0</v>
      </c>
      <c r="DI1115">
        <v>0</v>
      </c>
    </row>
    <row r="1116" spans="1:113" x14ac:dyDescent="0.3">
      <c r="A1116" t="str">
        <f>"09/28/2021 13:59:47.854"</f>
        <v>09/28/2021 13:59:47.854</v>
      </c>
      <c r="C1116" t="str">
        <f t="shared" si="53"/>
        <v>FFDFD3C0</v>
      </c>
      <c r="D1116" t="s">
        <v>120</v>
      </c>
      <c r="E1116">
        <v>12</v>
      </c>
      <c r="F1116">
        <v>1012</v>
      </c>
      <c r="G1116" t="s">
        <v>114</v>
      </c>
      <c r="J1116" t="s">
        <v>121</v>
      </c>
      <c r="K1116">
        <v>0</v>
      </c>
      <c r="L1116">
        <v>3</v>
      </c>
      <c r="M1116">
        <v>0</v>
      </c>
      <c r="N1116">
        <v>2</v>
      </c>
      <c r="O1116">
        <v>1</v>
      </c>
      <c r="P1116">
        <v>0</v>
      </c>
      <c r="Q1116">
        <v>0</v>
      </c>
      <c r="S1116" t="str">
        <f>"13:59:47.648"</f>
        <v>13:59:47.648</v>
      </c>
      <c r="T1116" t="str">
        <f>"13:59:47.148"</f>
        <v>13:59:47.148</v>
      </c>
      <c r="U1116" t="str">
        <f t="shared" si="55"/>
        <v>A92BC1</v>
      </c>
      <c r="V1116">
        <v>0</v>
      </c>
      <c r="W1116">
        <v>0</v>
      </c>
      <c r="X1116">
        <v>2</v>
      </c>
      <c r="Z1116">
        <v>0</v>
      </c>
      <c r="AA1116">
        <v>9</v>
      </c>
      <c r="AB1116">
        <v>3</v>
      </c>
      <c r="AC1116">
        <v>0</v>
      </c>
      <c r="AD1116">
        <v>10</v>
      </c>
      <c r="AE1116">
        <v>0</v>
      </c>
      <c r="AF1116">
        <v>3</v>
      </c>
      <c r="AG1116">
        <v>2</v>
      </c>
      <c r="AH1116">
        <v>0</v>
      </c>
      <c r="AI1116" t="s">
        <v>1216</v>
      </c>
      <c r="AJ1116">
        <v>45.909483000000002</v>
      </c>
      <c r="AK1116" t="s">
        <v>1217</v>
      </c>
      <c r="AL1116">
        <v>-89.064509999999999</v>
      </c>
      <c r="AM1116">
        <v>100</v>
      </c>
      <c r="AN1116">
        <v>15600</v>
      </c>
      <c r="AO1116" t="s">
        <v>118</v>
      </c>
      <c r="AP1116">
        <v>111</v>
      </c>
      <c r="AQ1116">
        <v>90</v>
      </c>
      <c r="AR1116">
        <v>-128</v>
      </c>
      <c r="AZ1116">
        <v>1200</v>
      </c>
      <c r="BA1116">
        <v>1</v>
      </c>
      <c r="BB1116" t="str">
        <f t="shared" si="54"/>
        <v xml:space="preserve">N690LS  </v>
      </c>
      <c r="BC1116">
        <v>1</v>
      </c>
      <c r="BE1116">
        <v>0</v>
      </c>
      <c r="BF1116">
        <v>0</v>
      </c>
      <c r="BG1116">
        <v>0</v>
      </c>
      <c r="BH1116">
        <v>16075</v>
      </c>
      <c r="BI1116">
        <v>1</v>
      </c>
      <c r="BJ1116">
        <v>1</v>
      </c>
      <c r="BK1116">
        <v>1</v>
      </c>
      <c r="BL1116">
        <v>0</v>
      </c>
      <c r="BO1116">
        <v>0</v>
      </c>
      <c r="BP1116">
        <v>0</v>
      </c>
      <c r="BW1116" t="str">
        <f>"13:59:47.650"</f>
        <v>13:59:47.650</v>
      </c>
      <c r="CJ1116">
        <v>0</v>
      </c>
      <c r="CK1116">
        <v>2</v>
      </c>
      <c r="CL1116">
        <v>0</v>
      </c>
      <c r="CM1116">
        <v>2</v>
      </c>
      <c r="CN1116">
        <v>0</v>
      </c>
      <c r="CO1116">
        <v>7</v>
      </c>
      <c r="CP1116" t="s">
        <v>119</v>
      </c>
      <c r="CQ1116">
        <v>209</v>
      </c>
      <c r="CR1116">
        <v>3</v>
      </c>
      <c r="CW1116">
        <v>7285792</v>
      </c>
      <c r="CY1116">
        <v>1</v>
      </c>
      <c r="CZ1116">
        <v>0</v>
      </c>
      <c r="DA1116">
        <v>1</v>
      </c>
      <c r="DB1116">
        <v>0</v>
      </c>
      <c r="DC1116">
        <v>0</v>
      </c>
      <c r="DD1116">
        <v>1</v>
      </c>
      <c r="DE1116">
        <v>0</v>
      </c>
      <c r="DF1116">
        <v>0</v>
      </c>
      <c r="DG1116">
        <v>0</v>
      </c>
      <c r="DH1116">
        <v>0</v>
      </c>
      <c r="DI1116">
        <v>0</v>
      </c>
    </row>
    <row r="1117" spans="1:113" x14ac:dyDescent="0.3">
      <c r="A1117" t="str">
        <f>"09/28/2021 13:59:48.776"</f>
        <v>09/28/2021 13:59:48.776</v>
      </c>
      <c r="C1117" t="str">
        <f t="shared" si="53"/>
        <v>FFDFD3C0</v>
      </c>
      <c r="D1117" t="s">
        <v>120</v>
      </c>
      <c r="E1117">
        <v>12</v>
      </c>
      <c r="F1117">
        <v>1012</v>
      </c>
      <c r="G1117" t="s">
        <v>114</v>
      </c>
      <c r="J1117" t="s">
        <v>121</v>
      </c>
      <c r="K1117">
        <v>0</v>
      </c>
      <c r="L1117">
        <v>3</v>
      </c>
      <c r="M1117">
        <v>0</v>
      </c>
      <c r="N1117">
        <v>2</v>
      </c>
      <c r="O1117">
        <v>1</v>
      </c>
      <c r="P1117">
        <v>0</v>
      </c>
      <c r="Q1117">
        <v>0</v>
      </c>
      <c r="S1117" t="str">
        <f>"13:59:48.586"</f>
        <v>13:59:48.586</v>
      </c>
      <c r="T1117" t="str">
        <f>"13:59:48.186"</f>
        <v>13:59:48.186</v>
      </c>
      <c r="U1117" t="str">
        <f t="shared" si="55"/>
        <v>A92BC1</v>
      </c>
      <c r="V1117">
        <v>0</v>
      </c>
      <c r="W1117">
        <v>0</v>
      </c>
      <c r="X1117">
        <v>2</v>
      </c>
      <c r="Z1117">
        <v>0</v>
      </c>
      <c r="AA1117">
        <v>9</v>
      </c>
      <c r="AB1117">
        <v>3</v>
      </c>
      <c r="AC1117">
        <v>0</v>
      </c>
      <c r="AD1117">
        <v>10</v>
      </c>
      <c r="AE1117">
        <v>0</v>
      </c>
      <c r="AF1117">
        <v>3</v>
      </c>
      <c r="AG1117">
        <v>2</v>
      </c>
      <c r="AH1117">
        <v>0</v>
      </c>
      <c r="AI1117" t="s">
        <v>1218</v>
      </c>
      <c r="AJ1117">
        <v>45.909847999999997</v>
      </c>
      <c r="AK1117" t="s">
        <v>1219</v>
      </c>
      <c r="AL1117">
        <v>-89.063888000000006</v>
      </c>
      <c r="AM1117">
        <v>100</v>
      </c>
      <c r="AN1117">
        <v>15600</v>
      </c>
      <c r="AO1117" t="s">
        <v>118</v>
      </c>
      <c r="AP1117">
        <v>110</v>
      </c>
      <c r="AQ1117">
        <v>89</v>
      </c>
      <c r="AR1117">
        <v>-128</v>
      </c>
      <c r="AZ1117">
        <v>1200</v>
      </c>
      <c r="BA1117">
        <v>1</v>
      </c>
      <c r="BB1117" t="str">
        <f t="shared" si="54"/>
        <v xml:space="preserve">N690LS  </v>
      </c>
      <c r="BC1117">
        <v>1</v>
      </c>
      <c r="BE1117">
        <v>0</v>
      </c>
      <c r="BF1117">
        <v>0</v>
      </c>
      <c r="BG1117">
        <v>0</v>
      </c>
      <c r="BH1117">
        <v>16075</v>
      </c>
      <c r="BI1117">
        <v>1</v>
      </c>
      <c r="BJ1117">
        <v>1</v>
      </c>
      <c r="BK1117">
        <v>1</v>
      </c>
      <c r="BL1117">
        <v>0</v>
      </c>
      <c r="BO1117">
        <v>0</v>
      </c>
      <c r="BP1117">
        <v>0</v>
      </c>
      <c r="BW1117" t="str">
        <f>"13:59:48.590"</f>
        <v>13:59:48.590</v>
      </c>
      <c r="CJ1117">
        <v>0</v>
      </c>
      <c r="CK1117">
        <v>2</v>
      </c>
      <c r="CL1117">
        <v>0</v>
      </c>
      <c r="CM1117">
        <v>2</v>
      </c>
      <c r="CN1117">
        <v>0</v>
      </c>
      <c r="CO1117">
        <v>7</v>
      </c>
      <c r="CP1117" t="s">
        <v>119</v>
      </c>
      <c r="CQ1117">
        <v>209</v>
      </c>
      <c r="CR1117">
        <v>3</v>
      </c>
      <c r="CW1117">
        <v>7286136</v>
      </c>
      <c r="CY1117">
        <v>1</v>
      </c>
      <c r="CZ1117">
        <v>0</v>
      </c>
      <c r="DA1117">
        <v>0</v>
      </c>
      <c r="DB1117">
        <v>0</v>
      </c>
      <c r="DC1117">
        <v>0</v>
      </c>
      <c r="DD1117">
        <v>1</v>
      </c>
      <c r="DE1117">
        <v>0</v>
      </c>
      <c r="DF1117">
        <v>0</v>
      </c>
      <c r="DG1117">
        <v>0</v>
      </c>
      <c r="DH1117">
        <v>0</v>
      </c>
      <c r="DI1117">
        <v>0</v>
      </c>
    </row>
    <row r="1118" spans="1:113" x14ac:dyDescent="0.3">
      <c r="A1118" t="str">
        <f>"09/28/2021 13:59:48.854"</f>
        <v>09/28/2021 13:59:48.854</v>
      </c>
      <c r="C1118" t="str">
        <f t="shared" si="53"/>
        <v>FFDFD3C0</v>
      </c>
      <c r="D1118" t="s">
        <v>113</v>
      </c>
      <c r="E1118">
        <v>7</v>
      </c>
      <c r="H1118">
        <v>170</v>
      </c>
      <c r="I1118" t="s">
        <v>114</v>
      </c>
      <c r="J1118" t="s">
        <v>115</v>
      </c>
      <c r="K1118">
        <v>0</v>
      </c>
      <c r="L1118">
        <v>3</v>
      </c>
      <c r="M1118">
        <v>0</v>
      </c>
      <c r="N1118">
        <v>2</v>
      </c>
      <c r="O1118">
        <v>1</v>
      </c>
      <c r="P1118">
        <v>0</v>
      </c>
      <c r="Q1118">
        <v>0</v>
      </c>
      <c r="S1118" t="str">
        <f>"13:59:48.586"</f>
        <v>13:59:48.586</v>
      </c>
      <c r="T1118" t="str">
        <f>"13:59:48.186"</f>
        <v>13:59:48.186</v>
      </c>
      <c r="U1118" t="str">
        <f t="shared" si="55"/>
        <v>A92BC1</v>
      </c>
      <c r="V1118">
        <v>0</v>
      </c>
      <c r="W1118">
        <v>0</v>
      </c>
      <c r="X1118">
        <v>2</v>
      </c>
      <c r="Z1118">
        <v>0</v>
      </c>
      <c r="AA1118">
        <v>9</v>
      </c>
      <c r="AB1118">
        <v>3</v>
      </c>
      <c r="AC1118">
        <v>0</v>
      </c>
      <c r="AD1118">
        <v>10</v>
      </c>
      <c r="AE1118">
        <v>0</v>
      </c>
      <c r="AF1118">
        <v>3</v>
      </c>
      <c r="AG1118">
        <v>2</v>
      </c>
      <c r="AH1118">
        <v>0</v>
      </c>
      <c r="AI1118" t="s">
        <v>1218</v>
      </c>
      <c r="AJ1118">
        <v>45.909847999999997</v>
      </c>
      <c r="AK1118" t="s">
        <v>1219</v>
      </c>
      <c r="AL1118">
        <v>-89.063888000000006</v>
      </c>
      <c r="AM1118">
        <v>100</v>
      </c>
      <c r="AN1118">
        <v>15600</v>
      </c>
      <c r="AO1118" t="s">
        <v>118</v>
      </c>
      <c r="AP1118">
        <v>110</v>
      </c>
      <c r="AQ1118">
        <v>89</v>
      </c>
      <c r="AR1118">
        <v>-128</v>
      </c>
      <c r="AZ1118">
        <v>1200</v>
      </c>
      <c r="BA1118">
        <v>1</v>
      </c>
      <c r="BB1118" t="str">
        <f t="shared" si="54"/>
        <v xml:space="preserve">N690LS  </v>
      </c>
      <c r="BC1118">
        <v>1</v>
      </c>
      <c r="BE1118">
        <v>0</v>
      </c>
      <c r="BF1118">
        <v>0</v>
      </c>
      <c r="BG1118">
        <v>0</v>
      </c>
      <c r="BH1118">
        <v>16075</v>
      </c>
      <c r="BI1118">
        <v>1</v>
      </c>
      <c r="BJ1118">
        <v>1</v>
      </c>
      <c r="BK1118">
        <v>1</v>
      </c>
      <c r="BL1118">
        <v>0</v>
      </c>
      <c r="BO1118">
        <v>0</v>
      </c>
      <c r="BP1118">
        <v>0</v>
      </c>
      <c r="BW1118" t="str">
        <f>"13:59:48.590"</f>
        <v>13:59:48.590</v>
      </c>
      <c r="CJ1118">
        <v>0</v>
      </c>
      <c r="CK1118">
        <v>2</v>
      </c>
      <c r="CL1118">
        <v>0</v>
      </c>
      <c r="CM1118">
        <v>2</v>
      </c>
      <c r="CN1118">
        <v>0</v>
      </c>
      <c r="CO1118">
        <v>7</v>
      </c>
      <c r="CP1118" t="s">
        <v>119</v>
      </c>
      <c r="CQ1118">
        <v>209</v>
      </c>
      <c r="CR1118">
        <v>3</v>
      </c>
      <c r="CW1118">
        <v>7286136</v>
      </c>
      <c r="CY1118">
        <v>1</v>
      </c>
      <c r="CZ1118">
        <v>0</v>
      </c>
      <c r="DA1118">
        <v>1</v>
      </c>
      <c r="DB1118">
        <v>0</v>
      </c>
      <c r="DC1118">
        <v>0</v>
      </c>
      <c r="DD1118">
        <v>1</v>
      </c>
      <c r="DE1118">
        <v>0</v>
      </c>
      <c r="DF1118">
        <v>0</v>
      </c>
      <c r="DG1118">
        <v>0</v>
      </c>
      <c r="DH1118">
        <v>0</v>
      </c>
      <c r="DI1118">
        <v>0</v>
      </c>
    </row>
    <row r="1119" spans="1:113" x14ac:dyDescent="0.3">
      <c r="A1119" t="str">
        <f>"09/28/2021 13:59:49.855"</f>
        <v>09/28/2021 13:59:49.855</v>
      </c>
      <c r="C1119" t="str">
        <f t="shared" si="53"/>
        <v>FFDFD3C0</v>
      </c>
      <c r="D1119" t="s">
        <v>113</v>
      </c>
      <c r="E1119">
        <v>7</v>
      </c>
      <c r="H1119">
        <v>170</v>
      </c>
      <c r="I1119" t="s">
        <v>114</v>
      </c>
      <c r="J1119" t="s">
        <v>115</v>
      </c>
      <c r="K1119">
        <v>0</v>
      </c>
      <c r="L1119">
        <v>3</v>
      </c>
      <c r="M1119">
        <v>0</v>
      </c>
      <c r="N1119">
        <v>2</v>
      </c>
      <c r="O1119">
        <v>1</v>
      </c>
      <c r="P1119">
        <v>0</v>
      </c>
      <c r="Q1119">
        <v>0</v>
      </c>
      <c r="S1119" t="str">
        <f>"13:59:49.602"</f>
        <v>13:59:49.602</v>
      </c>
      <c r="T1119" t="str">
        <f>"13:59:49.202"</f>
        <v>13:59:49.202</v>
      </c>
      <c r="U1119" t="str">
        <f t="shared" si="55"/>
        <v>A92BC1</v>
      </c>
      <c r="V1119">
        <v>0</v>
      </c>
      <c r="W1119">
        <v>0</v>
      </c>
      <c r="X1119">
        <v>2</v>
      </c>
      <c r="Z1119">
        <v>0</v>
      </c>
      <c r="AA1119">
        <v>9</v>
      </c>
      <c r="AB1119">
        <v>3</v>
      </c>
      <c r="AC1119">
        <v>0</v>
      </c>
      <c r="AD1119">
        <v>10</v>
      </c>
      <c r="AE1119">
        <v>0</v>
      </c>
      <c r="AF1119">
        <v>3</v>
      </c>
      <c r="AG1119">
        <v>2</v>
      </c>
      <c r="AH1119">
        <v>0</v>
      </c>
      <c r="AI1119" t="s">
        <v>1220</v>
      </c>
      <c r="AJ1119">
        <v>45.910255999999997</v>
      </c>
      <c r="AK1119" t="s">
        <v>1221</v>
      </c>
      <c r="AL1119">
        <v>-89.063158000000001</v>
      </c>
      <c r="AM1119">
        <v>100</v>
      </c>
      <c r="AN1119">
        <v>15500</v>
      </c>
      <c r="AO1119" t="s">
        <v>118</v>
      </c>
      <c r="AP1119">
        <v>109</v>
      </c>
      <c r="AQ1119">
        <v>88</v>
      </c>
      <c r="AR1119">
        <v>-128</v>
      </c>
      <c r="AZ1119">
        <v>1200</v>
      </c>
      <c r="BA1119">
        <v>1</v>
      </c>
      <c r="BB1119" t="str">
        <f t="shared" si="54"/>
        <v xml:space="preserve">N690LS  </v>
      </c>
      <c r="BC1119">
        <v>1</v>
      </c>
      <c r="BE1119">
        <v>0</v>
      </c>
      <c r="BF1119">
        <v>0</v>
      </c>
      <c r="BG1119">
        <v>0</v>
      </c>
      <c r="BH1119">
        <v>16075</v>
      </c>
      <c r="BI1119">
        <v>1</v>
      </c>
      <c r="BJ1119">
        <v>1</v>
      </c>
      <c r="BK1119">
        <v>1</v>
      </c>
      <c r="BL1119">
        <v>0</v>
      </c>
      <c r="BO1119">
        <v>0</v>
      </c>
      <c r="BP1119">
        <v>0</v>
      </c>
      <c r="BW1119" t="str">
        <f>"13:59:49.604"</f>
        <v>13:59:49.604</v>
      </c>
      <c r="CJ1119">
        <v>0</v>
      </c>
      <c r="CK1119">
        <v>2</v>
      </c>
      <c r="CL1119">
        <v>0</v>
      </c>
      <c r="CM1119">
        <v>2</v>
      </c>
      <c r="CN1119">
        <v>0</v>
      </c>
      <c r="CO1119">
        <v>7</v>
      </c>
      <c r="CP1119" t="s">
        <v>119</v>
      </c>
      <c r="CQ1119">
        <v>209</v>
      </c>
      <c r="CR1119">
        <v>3</v>
      </c>
      <c r="CW1119">
        <v>7286466</v>
      </c>
      <c r="CY1119">
        <v>1</v>
      </c>
      <c r="CZ1119">
        <v>0</v>
      </c>
      <c r="DA1119">
        <v>0</v>
      </c>
      <c r="DB1119">
        <v>0</v>
      </c>
      <c r="DC1119">
        <v>0</v>
      </c>
      <c r="DD1119">
        <v>1</v>
      </c>
      <c r="DE1119">
        <v>0</v>
      </c>
      <c r="DF1119">
        <v>0</v>
      </c>
      <c r="DG1119">
        <v>0</v>
      </c>
      <c r="DH1119">
        <v>0</v>
      </c>
      <c r="DI1119">
        <v>0</v>
      </c>
    </row>
    <row r="1120" spans="1:113" x14ac:dyDescent="0.3">
      <c r="A1120" t="str">
        <f>"09/28/2021 13:59:49.855"</f>
        <v>09/28/2021 13:59:49.855</v>
      </c>
      <c r="C1120" t="str">
        <f t="shared" si="53"/>
        <v>FFDFD3C0</v>
      </c>
      <c r="D1120" t="s">
        <v>120</v>
      </c>
      <c r="E1120">
        <v>12</v>
      </c>
      <c r="F1120">
        <v>1012</v>
      </c>
      <c r="G1120" t="s">
        <v>114</v>
      </c>
      <c r="J1120" t="s">
        <v>121</v>
      </c>
      <c r="K1120">
        <v>0</v>
      </c>
      <c r="L1120">
        <v>3</v>
      </c>
      <c r="M1120">
        <v>0</v>
      </c>
      <c r="N1120">
        <v>2</v>
      </c>
      <c r="O1120">
        <v>1</v>
      </c>
      <c r="P1120">
        <v>0</v>
      </c>
      <c r="Q1120">
        <v>0</v>
      </c>
      <c r="S1120" t="str">
        <f>"13:59:49.602"</f>
        <v>13:59:49.602</v>
      </c>
      <c r="T1120" t="str">
        <f>"13:59:49.202"</f>
        <v>13:59:49.202</v>
      </c>
      <c r="U1120" t="str">
        <f t="shared" si="55"/>
        <v>A92BC1</v>
      </c>
      <c r="V1120">
        <v>0</v>
      </c>
      <c r="W1120">
        <v>0</v>
      </c>
      <c r="X1120">
        <v>2</v>
      </c>
      <c r="Z1120">
        <v>0</v>
      </c>
      <c r="AA1120">
        <v>9</v>
      </c>
      <c r="AB1120">
        <v>3</v>
      </c>
      <c r="AC1120">
        <v>0</v>
      </c>
      <c r="AD1120">
        <v>10</v>
      </c>
      <c r="AE1120">
        <v>0</v>
      </c>
      <c r="AF1120">
        <v>3</v>
      </c>
      <c r="AG1120">
        <v>2</v>
      </c>
      <c r="AH1120">
        <v>0</v>
      </c>
      <c r="AI1120" t="s">
        <v>1220</v>
      </c>
      <c r="AJ1120">
        <v>45.910255999999997</v>
      </c>
      <c r="AK1120" t="s">
        <v>1221</v>
      </c>
      <c r="AL1120">
        <v>-89.063158000000001</v>
      </c>
      <c r="AM1120">
        <v>100</v>
      </c>
      <c r="AN1120">
        <v>15500</v>
      </c>
      <c r="AO1120" t="s">
        <v>118</v>
      </c>
      <c r="AP1120">
        <v>109</v>
      </c>
      <c r="AQ1120">
        <v>88</v>
      </c>
      <c r="AR1120">
        <v>-128</v>
      </c>
      <c r="AZ1120">
        <v>1200</v>
      </c>
      <c r="BA1120">
        <v>1</v>
      </c>
      <c r="BB1120" t="str">
        <f t="shared" si="54"/>
        <v xml:space="preserve">N690LS  </v>
      </c>
      <c r="BC1120">
        <v>1</v>
      </c>
      <c r="BE1120">
        <v>0</v>
      </c>
      <c r="BF1120">
        <v>0</v>
      </c>
      <c r="BG1120">
        <v>0</v>
      </c>
      <c r="BH1120">
        <v>16075</v>
      </c>
      <c r="BI1120">
        <v>1</v>
      </c>
      <c r="BJ1120">
        <v>1</v>
      </c>
      <c r="BK1120">
        <v>1</v>
      </c>
      <c r="BL1120">
        <v>0</v>
      </c>
      <c r="BO1120">
        <v>0</v>
      </c>
      <c r="BP1120">
        <v>0</v>
      </c>
      <c r="BW1120" t="str">
        <f>"13:59:49.604"</f>
        <v>13:59:49.604</v>
      </c>
      <c r="CJ1120">
        <v>0</v>
      </c>
      <c r="CK1120">
        <v>2</v>
      </c>
      <c r="CL1120">
        <v>0</v>
      </c>
      <c r="CM1120">
        <v>2</v>
      </c>
      <c r="CN1120">
        <v>0</v>
      </c>
      <c r="CO1120">
        <v>7</v>
      </c>
      <c r="CP1120" t="s">
        <v>119</v>
      </c>
      <c r="CQ1120">
        <v>209</v>
      </c>
      <c r="CR1120">
        <v>3</v>
      </c>
      <c r="CW1120">
        <v>7286466</v>
      </c>
      <c r="CY1120">
        <v>1</v>
      </c>
      <c r="CZ1120">
        <v>0</v>
      </c>
      <c r="DA1120">
        <v>1</v>
      </c>
      <c r="DB1120">
        <v>0</v>
      </c>
      <c r="DC1120">
        <v>0</v>
      </c>
      <c r="DD1120">
        <v>1</v>
      </c>
      <c r="DE1120">
        <v>0</v>
      </c>
      <c r="DF1120">
        <v>0</v>
      </c>
      <c r="DG1120">
        <v>0</v>
      </c>
      <c r="DH1120">
        <v>0</v>
      </c>
      <c r="DI1120">
        <v>0</v>
      </c>
    </row>
    <row r="1121" spans="1:113" x14ac:dyDescent="0.3">
      <c r="A1121" t="str">
        <f>"09/28/2021 13:59:50.777"</f>
        <v>09/28/2021 13:59:50.777</v>
      </c>
      <c r="C1121" t="str">
        <f t="shared" si="53"/>
        <v>FFDFD3C0</v>
      </c>
      <c r="D1121" t="s">
        <v>113</v>
      </c>
      <c r="E1121">
        <v>7</v>
      </c>
      <c r="H1121">
        <v>170</v>
      </c>
      <c r="I1121" t="s">
        <v>114</v>
      </c>
      <c r="J1121" t="s">
        <v>115</v>
      </c>
      <c r="K1121">
        <v>0</v>
      </c>
      <c r="L1121">
        <v>3</v>
      </c>
      <c r="M1121">
        <v>0</v>
      </c>
      <c r="N1121">
        <v>2</v>
      </c>
      <c r="O1121">
        <v>1</v>
      </c>
      <c r="P1121">
        <v>0</v>
      </c>
      <c r="Q1121">
        <v>0</v>
      </c>
      <c r="S1121" t="str">
        <f>"13:59:50.547"</f>
        <v>13:59:50.547</v>
      </c>
      <c r="T1121" t="str">
        <f>"13:59:50.147"</f>
        <v>13:59:50.147</v>
      </c>
      <c r="U1121" t="str">
        <f t="shared" si="55"/>
        <v>A92BC1</v>
      </c>
      <c r="V1121">
        <v>0</v>
      </c>
      <c r="W1121">
        <v>0</v>
      </c>
      <c r="X1121">
        <v>2</v>
      </c>
      <c r="Z1121">
        <v>0</v>
      </c>
      <c r="AA1121">
        <v>9</v>
      </c>
      <c r="AB1121">
        <v>3</v>
      </c>
      <c r="AC1121">
        <v>0</v>
      </c>
      <c r="AD1121">
        <v>10</v>
      </c>
      <c r="AE1121">
        <v>0</v>
      </c>
      <c r="AF1121">
        <v>3</v>
      </c>
      <c r="AG1121">
        <v>2</v>
      </c>
      <c r="AH1121">
        <v>0</v>
      </c>
      <c r="AI1121" t="s">
        <v>1222</v>
      </c>
      <c r="AJ1121">
        <v>45.910620999999999</v>
      </c>
      <c r="AK1121" t="s">
        <v>1223</v>
      </c>
      <c r="AL1121">
        <v>-89.062406999999993</v>
      </c>
      <c r="AM1121">
        <v>100</v>
      </c>
      <c r="AN1121">
        <v>15500</v>
      </c>
      <c r="AO1121" t="s">
        <v>118</v>
      </c>
      <c r="AP1121">
        <v>108</v>
      </c>
      <c r="AQ1121">
        <v>87</v>
      </c>
      <c r="AR1121">
        <v>-128</v>
      </c>
      <c r="AZ1121">
        <v>1200</v>
      </c>
      <c r="BA1121">
        <v>1</v>
      </c>
      <c r="BB1121" t="str">
        <f t="shared" si="54"/>
        <v xml:space="preserve">N690LS  </v>
      </c>
      <c r="BC1121">
        <v>1</v>
      </c>
      <c r="BE1121">
        <v>0</v>
      </c>
      <c r="BF1121">
        <v>0</v>
      </c>
      <c r="BG1121">
        <v>0</v>
      </c>
      <c r="BH1121">
        <v>16050</v>
      </c>
      <c r="BI1121">
        <v>1</v>
      </c>
      <c r="BJ1121">
        <v>1</v>
      </c>
      <c r="BK1121">
        <v>1</v>
      </c>
      <c r="BL1121">
        <v>0</v>
      </c>
      <c r="BO1121">
        <v>0</v>
      </c>
      <c r="BP1121">
        <v>0</v>
      </c>
      <c r="BW1121" t="str">
        <f>"13:59:50.550"</f>
        <v>13:59:50.550</v>
      </c>
      <c r="CJ1121">
        <v>0</v>
      </c>
      <c r="CK1121">
        <v>2</v>
      </c>
      <c r="CL1121">
        <v>0</v>
      </c>
      <c r="CM1121">
        <v>2</v>
      </c>
      <c r="CN1121">
        <v>0</v>
      </c>
      <c r="CO1121">
        <v>7</v>
      </c>
      <c r="CP1121" t="s">
        <v>119</v>
      </c>
      <c r="CQ1121">
        <v>209</v>
      </c>
      <c r="CR1121">
        <v>3</v>
      </c>
      <c r="CW1121">
        <v>7286826</v>
      </c>
      <c r="CY1121">
        <v>1</v>
      </c>
      <c r="CZ1121">
        <v>0</v>
      </c>
      <c r="DA1121">
        <v>0</v>
      </c>
      <c r="DB1121">
        <v>0</v>
      </c>
      <c r="DC1121">
        <v>0</v>
      </c>
      <c r="DD1121">
        <v>1</v>
      </c>
      <c r="DE1121">
        <v>0</v>
      </c>
      <c r="DF1121">
        <v>0</v>
      </c>
      <c r="DG1121">
        <v>0</v>
      </c>
      <c r="DH1121">
        <v>0</v>
      </c>
      <c r="DI1121">
        <v>0</v>
      </c>
    </row>
    <row r="1122" spans="1:113" x14ac:dyDescent="0.3">
      <c r="A1122" t="str">
        <f>"09/28/2021 13:59:50.777"</f>
        <v>09/28/2021 13:59:50.777</v>
      </c>
      <c r="C1122" t="str">
        <f t="shared" si="53"/>
        <v>FFDFD3C0</v>
      </c>
      <c r="D1122" t="s">
        <v>120</v>
      </c>
      <c r="E1122">
        <v>12</v>
      </c>
      <c r="F1122">
        <v>1012</v>
      </c>
      <c r="G1122" t="s">
        <v>114</v>
      </c>
      <c r="J1122" t="s">
        <v>121</v>
      </c>
      <c r="K1122">
        <v>0</v>
      </c>
      <c r="L1122">
        <v>3</v>
      </c>
      <c r="M1122">
        <v>0</v>
      </c>
      <c r="N1122">
        <v>2</v>
      </c>
      <c r="O1122">
        <v>1</v>
      </c>
      <c r="P1122">
        <v>0</v>
      </c>
      <c r="Q1122">
        <v>0</v>
      </c>
      <c r="S1122" t="str">
        <f>"13:59:50.547"</f>
        <v>13:59:50.547</v>
      </c>
      <c r="T1122" t="str">
        <f>"13:59:50.147"</f>
        <v>13:59:50.147</v>
      </c>
      <c r="U1122" t="str">
        <f t="shared" si="55"/>
        <v>A92BC1</v>
      </c>
      <c r="V1122">
        <v>0</v>
      </c>
      <c r="W1122">
        <v>0</v>
      </c>
      <c r="X1122">
        <v>2</v>
      </c>
      <c r="Z1122">
        <v>0</v>
      </c>
      <c r="AA1122">
        <v>9</v>
      </c>
      <c r="AB1122">
        <v>3</v>
      </c>
      <c r="AC1122">
        <v>0</v>
      </c>
      <c r="AD1122">
        <v>10</v>
      </c>
      <c r="AE1122">
        <v>0</v>
      </c>
      <c r="AF1122">
        <v>3</v>
      </c>
      <c r="AG1122">
        <v>2</v>
      </c>
      <c r="AH1122">
        <v>0</v>
      </c>
      <c r="AI1122" t="s">
        <v>1222</v>
      </c>
      <c r="AJ1122">
        <v>45.910620999999999</v>
      </c>
      <c r="AK1122" t="s">
        <v>1223</v>
      </c>
      <c r="AL1122">
        <v>-89.062406999999993</v>
      </c>
      <c r="AM1122">
        <v>100</v>
      </c>
      <c r="AN1122">
        <v>15500</v>
      </c>
      <c r="AO1122" t="s">
        <v>118</v>
      </c>
      <c r="AP1122">
        <v>108</v>
      </c>
      <c r="AQ1122">
        <v>87</v>
      </c>
      <c r="AR1122">
        <v>-128</v>
      </c>
      <c r="AZ1122">
        <v>1200</v>
      </c>
      <c r="BA1122">
        <v>1</v>
      </c>
      <c r="BB1122" t="str">
        <f t="shared" si="54"/>
        <v xml:space="preserve">N690LS  </v>
      </c>
      <c r="BC1122">
        <v>1</v>
      </c>
      <c r="BE1122">
        <v>0</v>
      </c>
      <c r="BF1122">
        <v>0</v>
      </c>
      <c r="BG1122">
        <v>0</v>
      </c>
      <c r="BH1122">
        <v>16050</v>
      </c>
      <c r="BI1122">
        <v>1</v>
      </c>
      <c r="BJ1122">
        <v>1</v>
      </c>
      <c r="BK1122">
        <v>1</v>
      </c>
      <c r="BL1122">
        <v>0</v>
      </c>
      <c r="BO1122">
        <v>0</v>
      </c>
      <c r="BP1122">
        <v>0</v>
      </c>
      <c r="BW1122" t="str">
        <f>"13:59:50.550"</f>
        <v>13:59:50.550</v>
      </c>
      <c r="CJ1122">
        <v>0</v>
      </c>
      <c r="CK1122">
        <v>2</v>
      </c>
      <c r="CL1122">
        <v>0</v>
      </c>
      <c r="CM1122">
        <v>2</v>
      </c>
      <c r="CN1122">
        <v>0</v>
      </c>
      <c r="CO1122">
        <v>7</v>
      </c>
      <c r="CP1122" t="s">
        <v>119</v>
      </c>
      <c r="CQ1122">
        <v>209</v>
      </c>
      <c r="CR1122">
        <v>3</v>
      </c>
      <c r="CW1122">
        <v>7286826</v>
      </c>
      <c r="CY1122">
        <v>1</v>
      </c>
      <c r="CZ1122">
        <v>0</v>
      </c>
      <c r="DA1122">
        <v>1</v>
      </c>
      <c r="DB1122">
        <v>0</v>
      </c>
      <c r="DC1122">
        <v>0</v>
      </c>
      <c r="DD1122">
        <v>1</v>
      </c>
      <c r="DE1122">
        <v>0</v>
      </c>
      <c r="DF1122">
        <v>0</v>
      </c>
      <c r="DG1122">
        <v>0</v>
      </c>
      <c r="DH1122">
        <v>0</v>
      </c>
      <c r="DI1122">
        <v>0</v>
      </c>
    </row>
    <row r="1123" spans="1:113" x14ac:dyDescent="0.3">
      <c r="A1123" t="str">
        <f>"09/28/2021 13:59:51.699"</f>
        <v>09/28/2021 13:59:51.699</v>
      </c>
      <c r="C1123" t="str">
        <f t="shared" si="53"/>
        <v>FFDFD3C0</v>
      </c>
      <c r="D1123" t="s">
        <v>113</v>
      </c>
      <c r="E1123">
        <v>7</v>
      </c>
      <c r="H1123">
        <v>170</v>
      </c>
      <c r="I1123" t="s">
        <v>114</v>
      </c>
      <c r="J1123" t="s">
        <v>115</v>
      </c>
      <c r="K1123">
        <v>0</v>
      </c>
      <c r="L1123">
        <v>3</v>
      </c>
      <c r="M1123">
        <v>0</v>
      </c>
      <c r="N1123">
        <v>2</v>
      </c>
      <c r="O1123">
        <v>1</v>
      </c>
      <c r="P1123">
        <v>0</v>
      </c>
      <c r="Q1123">
        <v>0</v>
      </c>
      <c r="S1123" t="str">
        <f>"13:59:51.406"</f>
        <v>13:59:51.406</v>
      </c>
      <c r="T1123" t="str">
        <f>"13:59:51.006"</f>
        <v>13:59:51.006</v>
      </c>
      <c r="U1123" t="str">
        <f t="shared" si="55"/>
        <v>A92BC1</v>
      </c>
      <c r="V1123">
        <v>0</v>
      </c>
      <c r="W1123">
        <v>0</v>
      </c>
      <c r="X1123">
        <v>2</v>
      </c>
      <c r="Z1123">
        <v>0</v>
      </c>
      <c r="AA1123">
        <v>9</v>
      </c>
      <c r="AB1123">
        <v>3</v>
      </c>
      <c r="AC1123">
        <v>0</v>
      </c>
      <c r="AD1123">
        <v>10</v>
      </c>
      <c r="AE1123">
        <v>0</v>
      </c>
      <c r="AF1123">
        <v>3</v>
      </c>
      <c r="AG1123">
        <v>2</v>
      </c>
      <c r="AH1123">
        <v>0</v>
      </c>
      <c r="AI1123" t="s">
        <v>1224</v>
      </c>
      <c r="AJ1123">
        <v>45.910943000000003</v>
      </c>
      <c r="AK1123" t="s">
        <v>1225</v>
      </c>
      <c r="AL1123">
        <v>-89.061870999999996</v>
      </c>
      <c r="AM1123">
        <v>100</v>
      </c>
      <c r="AN1123">
        <v>15500</v>
      </c>
      <c r="AO1123" t="s">
        <v>118</v>
      </c>
      <c r="AP1123">
        <v>107</v>
      </c>
      <c r="AQ1123">
        <v>87</v>
      </c>
      <c r="AR1123">
        <v>-128</v>
      </c>
      <c r="AZ1123">
        <v>1200</v>
      </c>
      <c r="BA1123">
        <v>1</v>
      </c>
      <c r="BB1123" t="str">
        <f t="shared" si="54"/>
        <v xml:space="preserve">N690LS  </v>
      </c>
      <c r="BC1123">
        <v>1</v>
      </c>
      <c r="BE1123">
        <v>0</v>
      </c>
      <c r="BF1123">
        <v>0</v>
      </c>
      <c r="BG1123">
        <v>0</v>
      </c>
      <c r="BH1123">
        <v>16050</v>
      </c>
      <c r="BI1123">
        <v>1</v>
      </c>
      <c r="BJ1123">
        <v>1</v>
      </c>
      <c r="BK1123">
        <v>1</v>
      </c>
      <c r="BL1123">
        <v>0</v>
      </c>
      <c r="BO1123">
        <v>0</v>
      </c>
      <c r="BP1123">
        <v>0</v>
      </c>
      <c r="BW1123" t="str">
        <f>"13:59:51.408"</f>
        <v>13:59:51.408</v>
      </c>
      <c r="CJ1123">
        <v>0</v>
      </c>
      <c r="CK1123">
        <v>2</v>
      </c>
      <c r="CL1123">
        <v>0</v>
      </c>
      <c r="CM1123">
        <v>2</v>
      </c>
      <c r="CN1123">
        <v>0</v>
      </c>
      <c r="CO1123">
        <v>7</v>
      </c>
      <c r="CP1123" t="s">
        <v>119</v>
      </c>
      <c r="CQ1123">
        <v>209</v>
      </c>
      <c r="CR1123">
        <v>3</v>
      </c>
      <c r="CW1123">
        <v>7287108</v>
      </c>
      <c r="CY1123">
        <v>1</v>
      </c>
      <c r="CZ1123">
        <v>0</v>
      </c>
      <c r="DA1123">
        <v>0</v>
      </c>
      <c r="DB1123">
        <v>0</v>
      </c>
      <c r="DC1123">
        <v>0</v>
      </c>
      <c r="DD1123">
        <v>1</v>
      </c>
      <c r="DE1123">
        <v>0</v>
      </c>
      <c r="DF1123">
        <v>0</v>
      </c>
      <c r="DG1123">
        <v>0</v>
      </c>
      <c r="DH1123">
        <v>0</v>
      </c>
      <c r="DI1123">
        <v>0</v>
      </c>
    </row>
    <row r="1124" spans="1:113" x14ac:dyDescent="0.3">
      <c r="A1124" t="str">
        <f>"09/28/2021 13:59:51.699"</f>
        <v>09/28/2021 13:59:51.699</v>
      </c>
      <c r="C1124" t="str">
        <f t="shared" si="53"/>
        <v>FFDFD3C0</v>
      </c>
      <c r="D1124" t="s">
        <v>120</v>
      </c>
      <c r="E1124">
        <v>12</v>
      </c>
      <c r="F1124">
        <v>1012</v>
      </c>
      <c r="G1124" t="s">
        <v>114</v>
      </c>
      <c r="J1124" t="s">
        <v>121</v>
      </c>
      <c r="K1124">
        <v>0</v>
      </c>
      <c r="L1124">
        <v>3</v>
      </c>
      <c r="M1124">
        <v>0</v>
      </c>
      <c r="N1124">
        <v>2</v>
      </c>
      <c r="O1124">
        <v>1</v>
      </c>
      <c r="P1124">
        <v>0</v>
      </c>
      <c r="Q1124">
        <v>0</v>
      </c>
      <c r="S1124" t="str">
        <f>"13:59:51.406"</f>
        <v>13:59:51.406</v>
      </c>
      <c r="T1124" t="str">
        <f>"13:59:51.006"</f>
        <v>13:59:51.006</v>
      </c>
      <c r="U1124" t="str">
        <f t="shared" si="55"/>
        <v>A92BC1</v>
      </c>
      <c r="V1124">
        <v>0</v>
      </c>
      <c r="W1124">
        <v>0</v>
      </c>
      <c r="X1124">
        <v>2</v>
      </c>
      <c r="Z1124">
        <v>0</v>
      </c>
      <c r="AA1124">
        <v>9</v>
      </c>
      <c r="AB1124">
        <v>3</v>
      </c>
      <c r="AC1124">
        <v>0</v>
      </c>
      <c r="AD1124">
        <v>10</v>
      </c>
      <c r="AE1124">
        <v>0</v>
      </c>
      <c r="AF1124">
        <v>3</v>
      </c>
      <c r="AG1124">
        <v>2</v>
      </c>
      <c r="AH1124">
        <v>0</v>
      </c>
      <c r="AI1124" t="s">
        <v>1224</v>
      </c>
      <c r="AJ1124">
        <v>45.910943000000003</v>
      </c>
      <c r="AK1124" t="s">
        <v>1225</v>
      </c>
      <c r="AL1124">
        <v>-89.061870999999996</v>
      </c>
      <c r="AM1124">
        <v>100</v>
      </c>
      <c r="AN1124">
        <v>15500</v>
      </c>
      <c r="AO1124" t="s">
        <v>118</v>
      </c>
      <c r="AP1124">
        <v>107</v>
      </c>
      <c r="AQ1124">
        <v>87</v>
      </c>
      <c r="AR1124">
        <v>-128</v>
      </c>
      <c r="AZ1124">
        <v>1200</v>
      </c>
      <c r="BA1124">
        <v>1</v>
      </c>
      <c r="BB1124" t="str">
        <f t="shared" si="54"/>
        <v xml:space="preserve">N690LS  </v>
      </c>
      <c r="BC1124">
        <v>1</v>
      </c>
      <c r="BE1124">
        <v>0</v>
      </c>
      <c r="BF1124">
        <v>0</v>
      </c>
      <c r="BG1124">
        <v>0</v>
      </c>
      <c r="BH1124">
        <v>16050</v>
      </c>
      <c r="BI1124">
        <v>1</v>
      </c>
      <c r="BJ1124">
        <v>1</v>
      </c>
      <c r="BK1124">
        <v>1</v>
      </c>
      <c r="BL1124">
        <v>0</v>
      </c>
      <c r="BO1124">
        <v>0</v>
      </c>
      <c r="BP1124">
        <v>0</v>
      </c>
      <c r="BW1124" t="str">
        <f>"13:59:51.408"</f>
        <v>13:59:51.408</v>
      </c>
      <c r="CJ1124">
        <v>0</v>
      </c>
      <c r="CK1124">
        <v>2</v>
      </c>
      <c r="CL1124">
        <v>0</v>
      </c>
      <c r="CM1124">
        <v>2</v>
      </c>
      <c r="CN1124">
        <v>0</v>
      </c>
      <c r="CO1124">
        <v>7</v>
      </c>
      <c r="CP1124" t="s">
        <v>119</v>
      </c>
      <c r="CQ1124">
        <v>209</v>
      </c>
      <c r="CR1124">
        <v>3</v>
      </c>
      <c r="CW1124">
        <v>7287108</v>
      </c>
      <c r="CY1124">
        <v>1</v>
      </c>
      <c r="CZ1124">
        <v>0</v>
      </c>
      <c r="DA1124">
        <v>1</v>
      </c>
      <c r="DB1124">
        <v>0</v>
      </c>
      <c r="DC1124">
        <v>0</v>
      </c>
      <c r="DD1124">
        <v>1</v>
      </c>
      <c r="DE1124">
        <v>0</v>
      </c>
      <c r="DF1124">
        <v>0</v>
      </c>
      <c r="DG1124">
        <v>0</v>
      </c>
      <c r="DH1124">
        <v>0</v>
      </c>
      <c r="DI1124">
        <v>0</v>
      </c>
    </row>
    <row r="1125" spans="1:113" x14ac:dyDescent="0.3">
      <c r="A1125" t="str">
        <f>"09/28/2021 13:59:52.496"</f>
        <v>09/28/2021 13:59:52.496</v>
      </c>
      <c r="C1125" t="str">
        <f t="shared" si="53"/>
        <v>FFDFD3C0</v>
      </c>
      <c r="D1125" t="s">
        <v>113</v>
      </c>
      <c r="E1125">
        <v>7</v>
      </c>
      <c r="H1125">
        <v>170</v>
      </c>
      <c r="I1125" t="s">
        <v>114</v>
      </c>
      <c r="J1125" t="s">
        <v>115</v>
      </c>
      <c r="K1125">
        <v>0</v>
      </c>
      <c r="L1125">
        <v>3</v>
      </c>
      <c r="M1125">
        <v>0</v>
      </c>
      <c r="N1125">
        <v>2</v>
      </c>
      <c r="O1125">
        <v>1</v>
      </c>
      <c r="P1125">
        <v>0</v>
      </c>
      <c r="Q1125">
        <v>0</v>
      </c>
      <c r="S1125" t="str">
        <f>"13:59:52.289"</f>
        <v>13:59:52.289</v>
      </c>
      <c r="T1125" t="str">
        <f>"13:59:51.889"</f>
        <v>13:59:51.889</v>
      </c>
      <c r="U1125" t="str">
        <f t="shared" si="55"/>
        <v>A92BC1</v>
      </c>
      <c r="V1125">
        <v>0</v>
      </c>
      <c r="W1125">
        <v>0</v>
      </c>
      <c r="X1125">
        <v>2</v>
      </c>
      <c r="Z1125">
        <v>0</v>
      </c>
      <c r="AA1125">
        <v>9</v>
      </c>
      <c r="AB1125">
        <v>3</v>
      </c>
      <c r="AC1125">
        <v>0</v>
      </c>
      <c r="AD1125">
        <v>10</v>
      </c>
      <c r="AE1125">
        <v>0</v>
      </c>
      <c r="AF1125">
        <v>3</v>
      </c>
      <c r="AG1125">
        <v>2</v>
      </c>
      <c r="AH1125">
        <v>0</v>
      </c>
      <c r="AI1125" t="s">
        <v>1226</v>
      </c>
      <c r="AJ1125">
        <v>45.911307000000001</v>
      </c>
      <c r="AK1125" t="s">
        <v>1227</v>
      </c>
      <c r="AL1125">
        <v>-89.061227000000002</v>
      </c>
      <c r="AM1125">
        <v>100</v>
      </c>
      <c r="AN1125">
        <v>15500</v>
      </c>
      <c r="AO1125" t="s">
        <v>118</v>
      </c>
      <c r="AP1125">
        <v>107</v>
      </c>
      <c r="AQ1125">
        <v>86</v>
      </c>
      <c r="AR1125">
        <v>-128</v>
      </c>
      <c r="AZ1125">
        <v>1200</v>
      </c>
      <c r="BA1125">
        <v>1</v>
      </c>
      <c r="BB1125" t="str">
        <f t="shared" si="54"/>
        <v xml:space="preserve">N690LS  </v>
      </c>
      <c r="BC1125">
        <v>1</v>
      </c>
      <c r="BE1125">
        <v>0</v>
      </c>
      <c r="BF1125">
        <v>0</v>
      </c>
      <c r="BG1125">
        <v>0</v>
      </c>
      <c r="BH1125">
        <v>16050</v>
      </c>
      <c r="BI1125">
        <v>1</v>
      </c>
      <c r="BJ1125">
        <v>1</v>
      </c>
      <c r="BK1125">
        <v>1</v>
      </c>
      <c r="BL1125">
        <v>0</v>
      </c>
      <c r="BO1125">
        <v>0</v>
      </c>
      <c r="BP1125">
        <v>0</v>
      </c>
      <c r="BW1125" t="str">
        <f>"13:59:52.293"</f>
        <v>13:59:52.293</v>
      </c>
      <c r="CJ1125">
        <v>0</v>
      </c>
      <c r="CK1125">
        <v>2</v>
      </c>
      <c r="CL1125">
        <v>0</v>
      </c>
      <c r="CM1125">
        <v>2</v>
      </c>
      <c r="CN1125">
        <v>0</v>
      </c>
      <c r="CO1125">
        <v>7</v>
      </c>
      <c r="CP1125" t="s">
        <v>119</v>
      </c>
      <c r="CQ1125">
        <v>209</v>
      </c>
      <c r="CR1125">
        <v>3</v>
      </c>
      <c r="CW1125">
        <v>7287405</v>
      </c>
      <c r="CY1125">
        <v>1</v>
      </c>
      <c r="CZ1125">
        <v>0</v>
      </c>
      <c r="DA1125">
        <v>0</v>
      </c>
      <c r="DB1125">
        <v>0</v>
      </c>
      <c r="DC1125">
        <v>0</v>
      </c>
      <c r="DD1125">
        <v>1</v>
      </c>
      <c r="DE1125">
        <v>0</v>
      </c>
      <c r="DF1125">
        <v>0</v>
      </c>
      <c r="DG1125">
        <v>0</v>
      </c>
      <c r="DH1125">
        <v>0</v>
      </c>
      <c r="DI1125">
        <v>0</v>
      </c>
    </row>
    <row r="1126" spans="1:113" x14ac:dyDescent="0.3">
      <c r="A1126" t="str">
        <f>"09/28/2021 13:59:52.496"</f>
        <v>09/28/2021 13:59:52.496</v>
      </c>
      <c r="C1126" t="str">
        <f t="shared" si="53"/>
        <v>FFDFD3C0</v>
      </c>
      <c r="D1126" t="s">
        <v>120</v>
      </c>
      <c r="E1126">
        <v>12</v>
      </c>
      <c r="F1126">
        <v>1012</v>
      </c>
      <c r="G1126" t="s">
        <v>114</v>
      </c>
      <c r="J1126" t="s">
        <v>121</v>
      </c>
      <c r="K1126">
        <v>0</v>
      </c>
      <c r="L1126">
        <v>3</v>
      </c>
      <c r="M1126">
        <v>0</v>
      </c>
      <c r="N1126">
        <v>2</v>
      </c>
      <c r="O1126">
        <v>1</v>
      </c>
      <c r="P1126">
        <v>0</v>
      </c>
      <c r="Q1126">
        <v>0</v>
      </c>
      <c r="S1126" t="str">
        <f>"13:59:52.289"</f>
        <v>13:59:52.289</v>
      </c>
      <c r="T1126" t="str">
        <f>"13:59:51.889"</f>
        <v>13:59:51.889</v>
      </c>
      <c r="U1126" t="str">
        <f t="shared" si="55"/>
        <v>A92BC1</v>
      </c>
      <c r="V1126">
        <v>0</v>
      </c>
      <c r="W1126">
        <v>0</v>
      </c>
      <c r="X1126">
        <v>2</v>
      </c>
      <c r="Z1126">
        <v>0</v>
      </c>
      <c r="AA1126">
        <v>9</v>
      </c>
      <c r="AB1126">
        <v>3</v>
      </c>
      <c r="AC1126">
        <v>0</v>
      </c>
      <c r="AD1126">
        <v>10</v>
      </c>
      <c r="AE1126">
        <v>0</v>
      </c>
      <c r="AF1126">
        <v>3</v>
      </c>
      <c r="AG1126">
        <v>2</v>
      </c>
      <c r="AH1126">
        <v>0</v>
      </c>
      <c r="AI1126" t="s">
        <v>1226</v>
      </c>
      <c r="AJ1126">
        <v>45.911307000000001</v>
      </c>
      <c r="AK1126" t="s">
        <v>1227</v>
      </c>
      <c r="AL1126">
        <v>-89.061227000000002</v>
      </c>
      <c r="AM1126">
        <v>100</v>
      </c>
      <c r="AN1126">
        <v>15500</v>
      </c>
      <c r="AO1126" t="s">
        <v>118</v>
      </c>
      <c r="AP1126">
        <v>107</v>
      </c>
      <c r="AQ1126">
        <v>86</v>
      </c>
      <c r="AR1126">
        <v>-128</v>
      </c>
      <c r="AZ1126">
        <v>1200</v>
      </c>
      <c r="BA1126">
        <v>1</v>
      </c>
      <c r="BB1126" t="str">
        <f t="shared" si="54"/>
        <v xml:space="preserve">N690LS  </v>
      </c>
      <c r="BC1126">
        <v>1</v>
      </c>
      <c r="BE1126">
        <v>0</v>
      </c>
      <c r="BF1126">
        <v>0</v>
      </c>
      <c r="BG1126">
        <v>0</v>
      </c>
      <c r="BH1126">
        <v>16050</v>
      </c>
      <c r="BI1126">
        <v>1</v>
      </c>
      <c r="BJ1126">
        <v>1</v>
      </c>
      <c r="BK1126">
        <v>1</v>
      </c>
      <c r="BL1126">
        <v>0</v>
      </c>
      <c r="BO1126">
        <v>0</v>
      </c>
      <c r="BP1126">
        <v>0</v>
      </c>
      <c r="BW1126" t="str">
        <f>"13:59:52.293"</f>
        <v>13:59:52.293</v>
      </c>
      <c r="CJ1126">
        <v>0</v>
      </c>
      <c r="CK1126">
        <v>2</v>
      </c>
      <c r="CL1126">
        <v>0</v>
      </c>
      <c r="CM1126">
        <v>2</v>
      </c>
      <c r="CN1126">
        <v>0</v>
      </c>
      <c r="CO1126">
        <v>7</v>
      </c>
      <c r="CP1126" t="s">
        <v>119</v>
      </c>
      <c r="CQ1126">
        <v>209</v>
      </c>
      <c r="CR1126">
        <v>3</v>
      </c>
      <c r="CW1126">
        <v>7287405</v>
      </c>
      <c r="CY1126">
        <v>1</v>
      </c>
      <c r="CZ1126">
        <v>0</v>
      </c>
      <c r="DA1126">
        <v>1</v>
      </c>
      <c r="DB1126">
        <v>0</v>
      </c>
      <c r="DC1126">
        <v>0</v>
      </c>
      <c r="DD1126">
        <v>1</v>
      </c>
      <c r="DE1126">
        <v>0</v>
      </c>
      <c r="DF1126">
        <v>0</v>
      </c>
      <c r="DG1126">
        <v>0</v>
      </c>
      <c r="DH1126">
        <v>0</v>
      </c>
      <c r="DI1126">
        <v>0</v>
      </c>
    </row>
    <row r="1127" spans="1:113" x14ac:dyDescent="0.3">
      <c r="A1127" t="str">
        <f>"09/28/2021 13:59:53.355"</f>
        <v>09/28/2021 13:59:53.355</v>
      </c>
      <c r="C1127" t="str">
        <f t="shared" ref="C1127:C1190" si="56">"FFDFD3C0"</f>
        <v>FFDFD3C0</v>
      </c>
      <c r="D1127" t="s">
        <v>120</v>
      </c>
      <c r="E1127">
        <v>12</v>
      </c>
      <c r="F1127">
        <v>1012</v>
      </c>
      <c r="G1127" t="s">
        <v>114</v>
      </c>
      <c r="J1127" t="s">
        <v>121</v>
      </c>
      <c r="K1127">
        <v>0</v>
      </c>
      <c r="L1127">
        <v>3</v>
      </c>
      <c r="M1127">
        <v>0</v>
      </c>
      <c r="N1127">
        <v>2</v>
      </c>
      <c r="O1127">
        <v>1</v>
      </c>
      <c r="P1127">
        <v>0</v>
      </c>
      <c r="Q1127">
        <v>0</v>
      </c>
      <c r="S1127" t="str">
        <f>"13:59:53.180"</f>
        <v>13:59:53.180</v>
      </c>
      <c r="T1127" t="str">
        <f>"13:59:52.780"</f>
        <v>13:59:52.780</v>
      </c>
      <c r="U1127" t="str">
        <f t="shared" si="55"/>
        <v>A92BC1</v>
      </c>
      <c r="V1127">
        <v>0</v>
      </c>
      <c r="W1127">
        <v>0</v>
      </c>
      <c r="X1127">
        <v>2</v>
      </c>
      <c r="Z1127">
        <v>0</v>
      </c>
      <c r="AA1127">
        <v>9</v>
      </c>
      <c r="AB1127">
        <v>3</v>
      </c>
      <c r="AC1127">
        <v>0</v>
      </c>
      <c r="AD1127">
        <v>10</v>
      </c>
      <c r="AE1127">
        <v>0</v>
      </c>
      <c r="AF1127">
        <v>3</v>
      </c>
      <c r="AG1127">
        <v>2</v>
      </c>
      <c r="AH1127">
        <v>0</v>
      </c>
      <c r="AI1127" t="s">
        <v>1228</v>
      </c>
      <c r="AJ1127">
        <v>45.911672000000003</v>
      </c>
      <c r="AK1127" t="s">
        <v>1229</v>
      </c>
      <c r="AL1127">
        <v>-89.060604999999995</v>
      </c>
      <c r="AM1127">
        <v>100</v>
      </c>
      <c r="AN1127">
        <v>15500</v>
      </c>
      <c r="AO1127" t="s">
        <v>118</v>
      </c>
      <c r="AP1127">
        <v>106</v>
      </c>
      <c r="AQ1127">
        <v>85</v>
      </c>
      <c r="AR1127">
        <v>-128</v>
      </c>
      <c r="AZ1127">
        <v>1200</v>
      </c>
      <c r="BA1127">
        <v>1</v>
      </c>
      <c r="BB1127" t="str">
        <f t="shared" ref="BB1127:BB1190" si="57">"N690LS  "</f>
        <v xml:space="preserve">N690LS  </v>
      </c>
      <c r="BC1127">
        <v>1</v>
      </c>
      <c r="BE1127">
        <v>0</v>
      </c>
      <c r="BF1127">
        <v>0</v>
      </c>
      <c r="BG1127">
        <v>0</v>
      </c>
      <c r="BH1127">
        <v>16050</v>
      </c>
      <c r="BI1127">
        <v>1</v>
      </c>
      <c r="BJ1127">
        <v>1</v>
      </c>
      <c r="BK1127">
        <v>1</v>
      </c>
      <c r="BL1127">
        <v>0</v>
      </c>
      <c r="BO1127">
        <v>0</v>
      </c>
      <c r="BP1127">
        <v>0</v>
      </c>
      <c r="BW1127" t="str">
        <f>"13:59:53.187"</f>
        <v>13:59:53.187</v>
      </c>
      <c r="CJ1127">
        <v>0</v>
      </c>
      <c r="CK1127">
        <v>2</v>
      </c>
      <c r="CL1127">
        <v>0</v>
      </c>
      <c r="CM1127">
        <v>2</v>
      </c>
      <c r="CN1127">
        <v>0</v>
      </c>
      <c r="CO1127">
        <v>7</v>
      </c>
      <c r="CP1127" t="s">
        <v>119</v>
      </c>
      <c r="CQ1127">
        <v>197</v>
      </c>
      <c r="CR1127">
        <v>0</v>
      </c>
      <c r="CW1127">
        <v>16103332</v>
      </c>
      <c r="CY1127">
        <v>1</v>
      </c>
      <c r="CZ1127">
        <v>0</v>
      </c>
      <c r="DA1127">
        <v>0</v>
      </c>
      <c r="DB1127">
        <v>0</v>
      </c>
      <c r="DC1127">
        <v>0</v>
      </c>
      <c r="DD1127">
        <v>1</v>
      </c>
      <c r="DE1127">
        <v>0</v>
      </c>
      <c r="DF1127">
        <v>0</v>
      </c>
      <c r="DG1127">
        <v>0</v>
      </c>
      <c r="DH1127">
        <v>0</v>
      </c>
      <c r="DI1127">
        <v>0</v>
      </c>
    </row>
    <row r="1128" spans="1:113" x14ac:dyDescent="0.3">
      <c r="A1128" t="str">
        <f>"09/28/2021 13:59:53.418"</f>
        <v>09/28/2021 13:59:53.418</v>
      </c>
      <c r="C1128" t="str">
        <f t="shared" si="56"/>
        <v>FFDFD3C0</v>
      </c>
      <c r="D1128" t="s">
        <v>113</v>
      </c>
      <c r="E1128">
        <v>7</v>
      </c>
      <c r="H1128">
        <v>170</v>
      </c>
      <c r="I1128" t="s">
        <v>114</v>
      </c>
      <c r="J1128" t="s">
        <v>115</v>
      </c>
      <c r="K1128">
        <v>0</v>
      </c>
      <c r="L1128">
        <v>3</v>
      </c>
      <c r="M1128">
        <v>0</v>
      </c>
      <c r="N1128">
        <v>2</v>
      </c>
      <c r="O1128">
        <v>1</v>
      </c>
      <c r="P1128">
        <v>0</v>
      </c>
      <c r="Q1128">
        <v>0</v>
      </c>
      <c r="S1128" t="str">
        <f>"13:59:53.180"</f>
        <v>13:59:53.180</v>
      </c>
      <c r="T1128" t="str">
        <f>"13:59:52.780"</f>
        <v>13:59:52.780</v>
      </c>
      <c r="U1128" t="str">
        <f t="shared" si="55"/>
        <v>A92BC1</v>
      </c>
      <c r="V1128">
        <v>0</v>
      </c>
      <c r="W1128">
        <v>0</v>
      </c>
      <c r="X1128">
        <v>2</v>
      </c>
      <c r="Z1128">
        <v>0</v>
      </c>
      <c r="AA1128">
        <v>9</v>
      </c>
      <c r="AB1128">
        <v>3</v>
      </c>
      <c r="AC1128">
        <v>0</v>
      </c>
      <c r="AD1128">
        <v>10</v>
      </c>
      <c r="AE1128">
        <v>0</v>
      </c>
      <c r="AF1128">
        <v>3</v>
      </c>
      <c r="AG1128">
        <v>2</v>
      </c>
      <c r="AH1128">
        <v>0</v>
      </c>
      <c r="AI1128" t="s">
        <v>1228</v>
      </c>
      <c r="AJ1128">
        <v>45.911672000000003</v>
      </c>
      <c r="AK1128" t="s">
        <v>1229</v>
      </c>
      <c r="AL1128">
        <v>-89.060604999999995</v>
      </c>
      <c r="AM1128">
        <v>100</v>
      </c>
      <c r="AN1128">
        <v>15500</v>
      </c>
      <c r="AO1128" t="s">
        <v>118</v>
      </c>
      <c r="AP1128">
        <v>106</v>
      </c>
      <c r="AQ1128">
        <v>85</v>
      </c>
      <c r="AR1128">
        <v>-128</v>
      </c>
      <c r="AZ1128">
        <v>1200</v>
      </c>
      <c r="BA1128">
        <v>1</v>
      </c>
      <c r="BB1128" t="str">
        <f t="shared" si="57"/>
        <v xml:space="preserve">N690LS  </v>
      </c>
      <c r="BC1128">
        <v>1</v>
      </c>
      <c r="BE1128">
        <v>0</v>
      </c>
      <c r="BF1128">
        <v>0</v>
      </c>
      <c r="BG1128">
        <v>0</v>
      </c>
      <c r="BH1128">
        <v>16050</v>
      </c>
      <c r="BI1128">
        <v>1</v>
      </c>
      <c r="BJ1128">
        <v>1</v>
      </c>
      <c r="BK1128">
        <v>1</v>
      </c>
      <c r="BL1128">
        <v>0</v>
      </c>
      <c r="BO1128">
        <v>0</v>
      </c>
      <c r="BP1128">
        <v>0</v>
      </c>
      <c r="BW1128" t="str">
        <f>"13:59:53.187"</f>
        <v>13:59:53.187</v>
      </c>
      <c r="CJ1128">
        <v>0</v>
      </c>
      <c r="CK1128">
        <v>2</v>
      </c>
      <c r="CL1128">
        <v>0</v>
      </c>
      <c r="CM1128">
        <v>2</v>
      </c>
      <c r="CN1128">
        <v>0</v>
      </c>
      <c r="CO1128">
        <v>7</v>
      </c>
      <c r="CP1128" t="s">
        <v>119</v>
      </c>
      <c r="CQ1128">
        <v>197</v>
      </c>
      <c r="CR1128">
        <v>0</v>
      </c>
      <c r="CW1128">
        <v>16103332</v>
      </c>
      <c r="CY1128">
        <v>1</v>
      </c>
      <c r="CZ1128">
        <v>0</v>
      </c>
      <c r="DA1128">
        <v>1</v>
      </c>
      <c r="DB1128">
        <v>0</v>
      </c>
      <c r="DC1128">
        <v>0</v>
      </c>
      <c r="DD1128">
        <v>1</v>
      </c>
      <c r="DE1128">
        <v>0</v>
      </c>
      <c r="DF1128">
        <v>0</v>
      </c>
      <c r="DG1128">
        <v>0</v>
      </c>
      <c r="DH1128">
        <v>0</v>
      </c>
      <c r="DI1128">
        <v>0</v>
      </c>
    </row>
    <row r="1129" spans="1:113" x14ac:dyDescent="0.3">
      <c r="A1129" t="str">
        <f>"09/28/2021 13:59:54.403"</f>
        <v>09/28/2021 13:59:54.403</v>
      </c>
      <c r="C1129" t="str">
        <f t="shared" si="56"/>
        <v>FFDFD3C0</v>
      </c>
      <c r="D1129" t="s">
        <v>113</v>
      </c>
      <c r="E1129">
        <v>7</v>
      </c>
      <c r="H1129">
        <v>170</v>
      </c>
      <c r="I1129" t="s">
        <v>114</v>
      </c>
      <c r="J1129" t="s">
        <v>115</v>
      </c>
      <c r="K1129">
        <v>0</v>
      </c>
      <c r="L1129">
        <v>3</v>
      </c>
      <c r="M1129">
        <v>0</v>
      </c>
      <c r="N1129">
        <v>2</v>
      </c>
      <c r="O1129">
        <v>1</v>
      </c>
      <c r="P1129">
        <v>0</v>
      </c>
      <c r="Q1129">
        <v>0</v>
      </c>
      <c r="S1129" t="str">
        <f>"13:59:54.203"</f>
        <v>13:59:54.203</v>
      </c>
      <c r="T1129" t="str">
        <f>"13:59:53.703"</f>
        <v>13:59:53.703</v>
      </c>
      <c r="U1129" t="str">
        <f t="shared" si="55"/>
        <v>A92BC1</v>
      </c>
      <c r="V1129">
        <v>0</v>
      </c>
      <c r="W1129">
        <v>0</v>
      </c>
      <c r="X1129">
        <v>2</v>
      </c>
      <c r="Z1129">
        <v>0</v>
      </c>
      <c r="AA1129">
        <v>9</v>
      </c>
      <c r="AB1129">
        <v>3</v>
      </c>
      <c r="AC1129">
        <v>0</v>
      </c>
      <c r="AD1129">
        <v>10</v>
      </c>
      <c r="AE1129">
        <v>0</v>
      </c>
      <c r="AF1129">
        <v>3</v>
      </c>
      <c r="AG1129">
        <v>2</v>
      </c>
      <c r="AH1129">
        <v>0</v>
      </c>
      <c r="AI1129" t="s">
        <v>1230</v>
      </c>
      <c r="AJ1129">
        <v>45.912058000000002</v>
      </c>
      <c r="AK1129" t="s">
        <v>1231</v>
      </c>
      <c r="AL1129">
        <v>-89.059939</v>
      </c>
      <c r="AM1129">
        <v>100</v>
      </c>
      <c r="AN1129">
        <v>15500</v>
      </c>
      <c r="AO1129" t="s">
        <v>118</v>
      </c>
      <c r="AP1129">
        <v>105</v>
      </c>
      <c r="AQ1129">
        <v>84</v>
      </c>
      <c r="AR1129">
        <v>-192</v>
      </c>
      <c r="AZ1129">
        <v>1200</v>
      </c>
      <c r="BA1129">
        <v>1</v>
      </c>
      <c r="BB1129" t="str">
        <f t="shared" si="57"/>
        <v xml:space="preserve">N690LS  </v>
      </c>
      <c r="BC1129">
        <v>1</v>
      </c>
      <c r="BE1129">
        <v>0</v>
      </c>
      <c r="BF1129">
        <v>0</v>
      </c>
      <c r="BG1129">
        <v>0</v>
      </c>
      <c r="BH1129">
        <v>16050</v>
      </c>
      <c r="BI1129">
        <v>1</v>
      </c>
      <c r="BJ1129">
        <v>1</v>
      </c>
      <c r="BK1129">
        <v>1</v>
      </c>
      <c r="BL1129">
        <v>0</v>
      </c>
      <c r="BO1129">
        <v>0</v>
      </c>
      <c r="BP1129">
        <v>0</v>
      </c>
      <c r="BW1129" t="str">
        <f>"13:59:54.203"</f>
        <v>13:59:54.203</v>
      </c>
      <c r="CJ1129">
        <v>0</v>
      </c>
      <c r="CK1129">
        <v>2</v>
      </c>
      <c r="CL1129">
        <v>0</v>
      </c>
      <c r="CM1129">
        <v>2</v>
      </c>
      <c r="CN1129">
        <v>0</v>
      </c>
      <c r="CO1129">
        <v>7</v>
      </c>
      <c r="CP1129" t="s">
        <v>119</v>
      </c>
      <c r="CQ1129">
        <v>209</v>
      </c>
      <c r="CR1129">
        <v>3</v>
      </c>
      <c r="CW1129">
        <v>7288084</v>
      </c>
      <c r="CY1129">
        <v>1</v>
      </c>
      <c r="CZ1129">
        <v>0</v>
      </c>
      <c r="DA1129">
        <v>0</v>
      </c>
      <c r="DB1129">
        <v>0</v>
      </c>
      <c r="DC1129">
        <v>0</v>
      </c>
      <c r="DD1129">
        <v>1</v>
      </c>
      <c r="DE1129">
        <v>0</v>
      </c>
      <c r="DF1129">
        <v>0</v>
      </c>
      <c r="DG1129">
        <v>0</v>
      </c>
      <c r="DH1129">
        <v>0</v>
      </c>
      <c r="DI1129">
        <v>0</v>
      </c>
    </row>
    <row r="1130" spans="1:113" x14ac:dyDescent="0.3">
      <c r="A1130" t="str">
        <f>"09/28/2021 13:59:54.419"</f>
        <v>09/28/2021 13:59:54.419</v>
      </c>
      <c r="C1130" t="str">
        <f t="shared" si="56"/>
        <v>FFDFD3C0</v>
      </c>
      <c r="D1130" t="s">
        <v>120</v>
      </c>
      <c r="E1130">
        <v>12</v>
      </c>
      <c r="F1130">
        <v>1012</v>
      </c>
      <c r="G1130" t="s">
        <v>114</v>
      </c>
      <c r="J1130" t="s">
        <v>121</v>
      </c>
      <c r="K1130">
        <v>0</v>
      </c>
      <c r="L1130">
        <v>3</v>
      </c>
      <c r="M1130">
        <v>0</v>
      </c>
      <c r="N1130">
        <v>2</v>
      </c>
      <c r="O1130">
        <v>1</v>
      </c>
      <c r="P1130">
        <v>0</v>
      </c>
      <c r="Q1130">
        <v>0</v>
      </c>
      <c r="S1130" t="str">
        <f>"13:59:54.203"</f>
        <v>13:59:54.203</v>
      </c>
      <c r="T1130" t="str">
        <f>"13:59:53.703"</f>
        <v>13:59:53.703</v>
      </c>
      <c r="U1130" t="str">
        <f t="shared" si="55"/>
        <v>A92BC1</v>
      </c>
      <c r="V1130">
        <v>0</v>
      </c>
      <c r="W1130">
        <v>0</v>
      </c>
      <c r="X1130">
        <v>2</v>
      </c>
      <c r="Z1130">
        <v>0</v>
      </c>
      <c r="AA1130">
        <v>9</v>
      </c>
      <c r="AB1130">
        <v>3</v>
      </c>
      <c r="AC1130">
        <v>0</v>
      </c>
      <c r="AD1130">
        <v>10</v>
      </c>
      <c r="AE1130">
        <v>0</v>
      </c>
      <c r="AF1130">
        <v>3</v>
      </c>
      <c r="AG1130">
        <v>2</v>
      </c>
      <c r="AH1130">
        <v>0</v>
      </c>
      <c r="AI1130" t="s">
        <v>1230</v>
      </c>
      <c r="AJ1130">
        <v>45.912058000000002</v>
      </c>
      <c r="AK1130" t="s">
        <v>1231</v>
      </c>
      <c r="AL1130">
        <v>-89.059939</v>
      </c>
      <c r="AM1130">
        <v>100</v>
      </c>
      <c r="AN1130">
        <v>15500</v>
      </c>
      <c r="AO1130" t="s">
        <v>118</v>
      </c>
      <c r="AP1130">
        <v>105</v>
      </c>
      <c r="AQ1130">
        <v>84</v>
      </c>
      <c r="AR1130">
        <v>-192</v>
      </c>
      <c r="AZ1130">
        <v>1200</v>
      </c>
      <c r="BA1130">
        <v>1</v>
      </c>
      <c r="BB1130" t="str">
        <f t="shared" si="57"/>
        <v xml:space="preserve">N690LS  </v>
      </c>
      <c r="BC1130">
        <v>1</v>
      </c>
      <c r="BE1130">
        <v>0</v>
      </c>
      <c r="BF1130">
        <v>0</v>
      </c>
      <c r="BG1130">
        <v>0</v>
      </c>
      <c r="BH1130">
        <v>16050</v>
      </c>
      <c r="BI1130">
        <v>1</v>
      </c>
      <c r="BJ1130">
        <v>1</v>
      </c>
      <c r="BK1130">
        <v>1</v>
      </c>
      <c r="BL1130">
        <v>0</v>
      </c>
      <c r="BO1130">
        <v>0</v>
      </c>
      <c r="BP1130">
        <v>0</v>
      </c>
      <c r="BW1130" t="str">
        <f>"13:59:54.203"</f>
        <v>13:59:54.203</v>
      </c>
      <c r="CJ1130">
        <v>0</v>
      </c>
      <c r="CK1130">
        <v>2</v>
      </c>
      <c r="CL1130">
        <v>0</v>
      </c>
      <c r="CM1130">
        <v>2</v>
      </c>
      <c r="CN1130">
        <v>0</v>
      </c>
      <c r="CO1130">
        <v>7</v>
      </c>
      <c r="CP1130" t="s">
        <v>119</v>
      </c>
      <c r="CQ1130">
        <v>209</v>
      </c>
      <c r="CR1130">
        <v>3</v>
      </c>
      <c r="CW1130">
        <v>7288084</v>
      </c>
      <c r="CY1130">
        <v>1</v>
      </c>
      <c r="CZ1130">
        <v>0</v>
      </c>
      <c r="DA1130">
        <v>1</v>
      </c>
      <c r="DB1130">
        <v>0</v>
      </c>
      <c r="DC1130">
        <v>0</v>
      </c>
      <c r="DD1130">
        <v>1</v>
      </c>
      <c r="DE1130">
        <v>0</v>
      </c>
      <c r="DF1130">
        <v>0</v>
      </c>
      <c r="DG1130">
        <v>0</v>
      </c>
      <c r="DH1130">
        <v>0</v>
      </c>
      <c r="DI1130">
        <v>0</v>
      </c>
    </row>
    <row r="1131" spans="1:113" x14ac:dyDescent="0.3">
      <c r="A1131" t="str">
        <f>"09/28/2021 13:59:55.325"</f>
        <v>09/28/2021 13:59:55.325</v>
      </c>
      <c r="C1131" t="str">
        <f t="shared" si="56"/>
        <v>FFDFD3C0</v>
      </c>
      <c r="D1131" t="s">
        <v>120</v>
      </c>
      <c r="E1131">
        <v>12</v>
      </c>
      <c r="F1131">
        <v>1012</v>
      </c>
      <c r="G1131" t="s">
        <v>114</v>
      </c>
      <c r="J1131" t="s">
        <v>121</v>
      </c>
      <c r="K1131">
        <v>0</v>
      </c>
      <c r="L1131">
        <v>3</v>
      </c>
      <c r="M1131">
        <v>0</v>
      </c>
      <c r="N1131">
        <v>2</v>
      </c>
      <c r="O1131">
        <v>1</v>
      </c>
      <c r="P1131">
        <v>0</v>
      </c>
      <c r="Q1131">
        <v>0</v>
      </c>
      <c r="S1131" t="str">
        <f>"13:59:55.094"</f>
        <v>13:59:55.094</v>
      </c>
      <c r="T1131" t="str">
        <f>"13:59:54.694"</f>
        <v>13:59:54.694</v>
      </c>
      <c r="U1131" t="str">
        <f t="shared" si="55"/>
        <v>A92BC1</v>
      </c>
      <c r="V1131">
        <v>0</v>
      </c>
      <c r="W1131">
        <v>0</v>
      </c>
      <c r="X1131">
        <v>2</v>
      </c>
      <c r="Z1131">
        <v>0</v>
      </c>
      <c r="AA1131">
        <v>9</v>
      </c>
      <c r="AB1131">
        <v>3</v>
      </c>
      <c r="AC1131">
        <v>0</v>
      </c>
      <c r="AD1131">
        <v>10</v>
      </c>
      <c r="AE1131">
        <v>0</v>
      </c>
      <c r="AF1131">
        <v>3</v>
      </c>
      <c r="AG1131">
        <v>2</v>
      </c>
      <c r="AH1131">
        <v>0</v>
      </c>
      <c r="AI1131" t="s">
        <v>1232</v>
      </c>
      <c r="AJ1131">
        <v>45.912422999999997</v>
      </c>
      <c r="AK1131" t="s">
        <v>1233</v>
      </c>
      <c r="AL1131">
        <v>-89.059296000000003</v>
      </c>
      <c r="AM1131">
        <v>100</v>
      </c>
      <c r="AN1131">
        <v>15500</v>
      </c>
      <c r="AO1131" t="s">
        <v>118</v>
      </c>
      <c r="AP1131">
        <v>104</v>
      </c>
      <c r="AQ1131">
        <v>83</v>
      </c>
      <c r="AR1131">
        <v>-192</v>
      </c>
      <c r="AZ1131">
        <v>1200</v>
      </c>
      <c r="BA1131">
        <v>1</v>
      </c>
      <c r="BB1131" t="str">
        <f t="shared" si="57"/>
        <v xml:space="preserve">N690LS  </v>
      </c>
      <c r="BC1131">
        <v>1</v>
      </c>
      <c r="BE1131">
        <v>0</v>
      </c>
      <c r="BF1131">
        <v>0</v>
      </c>
      <c r="BG1131">
        <v>0</v>
      </c>
      <c r="BH1131">
        <v>16050</v>
      </c>
      <c r="BI1131">
        <v>1</v>
      </c>
      <c r="BJ1131">
        <v>1</v>
      </c>
      <c r="BK1131">
        <v>1</v>
      </c>
      <c r="BL1131">
        <v>0</v>
      </c>
      <c r="BO1131">
        <v>0</v>
      </c>
      <c r="BP1131">
        <v>0</v>
      </c>
      <c r="BW1131" t="str">
        <f>"13:59:55.099"</f>
        <v>13:59:55.099</v>
      </c>
      <c r="CJ1131">
        <v>0</v>
      </c>
      <c r="CK1131">
        <v>2</v>
      </c>
      <c r="CL1131">
        <v>0</v>
      </c>
      <c r="CM1131">
        <v>2</v>
      </c>
      <c r="CN1131">
        <v>0</v>
      </c>
      <c r="CO1131">
        <v>7</v>
      </c>
      <c r="CP1131" t="s">
        <v>119</v>
      </c>
      <c r="CQ1131">
        <v>209</v>
      </c>
      <c r="CR1131">
        <v>3</v>
      </c>
      <c r="CW1131">
        <v>7288430</v>
      </c>
      <c r="CY1131">
        <v>1</v>
      </c>
      <c r="CZ1131">
        <v>0</v>
      </c>
      <c r="DA1131">
        <v>0</v>
      </c>
      <c r="DB1131">
        <v>0</v>
      </c>
      <c r="DC1131">
        <v>0</v>
      </c>
      <c r="DD1131">
        <v>1</v>
      </c>
      <c r="DE1131">
        <v>0</v>
      </c>
      <c r="DF1131">
        <v>0</v>
      </c>
      <c r="DG1131">
        <v>0</v>
      </c>
      <c r="DH1131">
        <v>0</v>
      </c>
      <c r="DI1131">
        <v>0</v>
      </c>
    </row>
    <row r="1132" spans="1:113" x14ac:dyDescent="0.3">
      <c r="A1132" t="str">
        <f>"09/28/2021 13:59:55.325"</f>
        <v>09/28/2021 13:59:55.325</v>
      </c>
      <c r="C1132" t="str">
        <f t="shared" si="56"/>
        <v>FFDFD3C0</v>
      </c>
      <c r="D1132" t="s">
        <v>113</v>
      </c>
      <c r="E1132">
        <v>7</v>
      </c>
      <c r="H1132">
        <v>170</v>
      </c>
      <c r="I1132" t="s">
        <v>114</v>
      </c>
      <c r="J1132" t="s">
        <v>115</v>
      </c>
      <c r="K1132">
        <v>0</v>
      </c>
      <c r="L1132">
        <v>3</v>
      </c>
      <c r="M1132">
        <v>0</v>
      </c>
      <c r="N1132">
        <v>2</v>
      </c>
      <c r="O1132">
        <v>1</v>
      </c>
      <c r="P1132">
        <v>0</v>
      </c>
      <c r="Q1132">
        <v>0</v>
      </c>
      <c r="S1132" t="str">
        <f>"13:59:55.094"</f>
        <v>13:59:55.094</v>
      </c>
      <c r="T1132" t="str">
        <f>"13:59:54.694"</f>
        <v>13:59:54.694</v>
      </c>
      <c r="U1132" t="str">
        <f t="shared" si="55"/>
        <v>A92BC1</v>
      </c>
      <c r="V1132">
        <v>0</v>
      </c>
      <c r="W1132">
        <v>0</v>
      </c>
      <c r="X1132">
        <v>2</v>
      </c>
      <c r="Z1132">
        <v>0</v>
      </c>
      <c r="AA1132">
        <v>9</v>
      </c>
      <c r="AB1132">
        <v>3</v>
      </c>
      <c r="AC1132">
        <v>0</v>
      </c>
      <c r="AD1132">
        <v>10</v>
      </c>
      <c r="AE1132">
        <v>0</v>
      </c>
      <c r="AF1132">
        <v>3</v>
      </c>
      <c r="AG1132">
        <v>2</v>
      </c>
      <c r="AH1132">
        <v>0</v>
      </c>
      <c r="AI1132" t="s">
        <v>1232</v>
      </c>
      <c r="AJ1132">
        <v>45.912422999999997</v>
      </c>
      <c r="AK1132" t="s">
        <v>1233</v>
      </c>
      <c r="AL1132">
        <v>-89.059296000000003</v>
      </c>
      <c r="AM1132">
        <v>100</v>
      </c>
      <c r="AN1132">
        <v>15500</v>
      </c>
      <c r="AO1132" t="s">
        <v>118</v>
      </c>
      <c r="AP1132">
        <v>104</v>
      </c>
      <c r="AQ1132">
        <v>83</v>
      </c>
      <c r="AR1132">
        <v>-192</v>
      </c>
      <c r="AZ1132">
        <v>1200</v>
      </c>
      <c r="BA1132">
        <v>1</v>
      </c>
      <c r="BB1132" t="str">
        <f t="shared" si="57"/>
        <v xml:space="preserve">N690LS  </v>
      </c>
      <c r="BC1132">
        <v>1</v>
      </c>
      <c r="BE1132">
        <v>0</v>
      </c>
      <c r="BF1132">
        <v>0</v>
      </c>
      <c r="BG1132">
        <v>0</v>
      </c>
      <c r="BH1132">
        <v>16050</v>
      </c>
      <c r="BI1132">
        <v>1</v>
      </c>
      <c r="BJ1132">
        <v>1</v>
      </c>
      <c r="BK1132">
        <v>1</v>
      </c>
      <c r="BL1132">
        <v>0</v>
      </c>
      <c r="BO1132">
        <v>0</v>
      </c>
      <c r="BP1132">
        <v>0</v>
      </c>
      <c r="BW1132" t="str">
        <f>"13:59:55.099"</f>
        <v>13:59:55.099</v>
      </c>
      <c r="CJ1132">
        <v>0</v>
      </c>
      <c r="CK1132">
        <v>2</v>
      </c>
      <c r="CL1132">
        <v>0</v>
      </c>
      <c r="CM1132">
        <v>2</v>
      </c>
      <c r="CN1132">
        <v>0</v>
      </c>
      <c r="CO1132">
        <v>7</v>
      </c>
      <c r="CP1132" t="s">
        <v>119</v>
      </c>
      <c r="CQ1132">
        <v>209</v>
      </c>
      <c r="CR1132">
        <v>3</v>
      </c>
      <c r="CW1132">
        <v>7288430</v>
      </c>
      <c r="CY1132">
        <v>1</v>
      </c>
      <c r="CZ1132">
        <v>0</v>
      </c>
      <c r="DA1132">
        <v>1</v>
      </c>
      <c r="DB1132">
        <v>0</v>
      </c>
      <c r="DC1132">
        <v>0</v>
      </c>
      <c r="DD1132">
        <v>1</v>
      </c>
      <c r="DE1132">
        <v>0</v>
      </c>
      <c r="DF1132">
        <v>0</v>
      </c>
      <c r="DG1132">
        <v>0</v>
      </c>
      <c r="DH1132">
        <v>0</v>
      </c>
      <c r="DI1132">
        <v>0</v>
      </c>
    </row>
    <row r="1133" spans="1:113" x14ac:dyDescent="0.3">
      <c r="A1133" t="str">
        <f>"09/28/2021 13:59:56.184"</f>
        <v>09/28/2021 13:59:56.184</v>
      </c>
      <c r="C1133" t="str">
        <f t="shared" si="56"/>
        <v>FFDFD3C0</v>
      </c>
      <c r="D1133" t="s">
        <v>113</v>
      </c>
      <c r="E1133">
        <v>7</v>
      </c>
      <c r="H1133">
        <v>170</v>
      </c>
      <c r="I1133" t="s">
        <v>114</v>
      </c>
      <c r="J1133" t="s">
        <v>115</v>
      </c>
      <c r="K1133">
        <v>0</v>
      </c>
      <c r="L1133">
        <v>3</v>
      </c>
      <c r="M1133">
        <v>0</v>
      </c>
      <c r="N1133">
        <v>2</v>
      </c>
      <c r="O1133">
        <v>1</v>
      </c>
      <c r="P1133">
        <v>0</v>
      </c>
      <c r="Q1133">
        <v>0</v>
      </c>
      <c r="S1133" t="str">
        <f>"13:59:55.992"</f>
        <v>13:59:55.992</v>
      </c>
      <c r="T1133" t="str">
        <f>"13:59:55.592"</f>
        <v>13:59:55.592</v>
      </c>
      <c r="U1133" t="str">
        <f t="shared" si="55"/>
        <v>A92BC1</v>
      </c>
      <c r="V1133">
        <v>0</v>
      </c>
      <c r="W1133">
        <v>0</v>
      </c>
      <c r="X1133">
        <v>2</v>
      </c>
      <c r="Z1133">
        <v>0</v>
      </c>
      <c r="AA1133">
        <v>9</v>
      </c>
      <c r="AB1133">
        <v>3</v>
      </c>
      <c r="AC1133">
        <v>0</v>
      </c>
      <c r="AD1133">
        <v>10</v>
      </c>
      <c r="AE1133">
        <v>0</v>
      </c>
      <c r="AF1133">
        <v>3</v>
      </c>
      <c r="AG1133">
        <v>2</v>
      </c>
      <c r="AH1133">
        <v>0</v>
      </c>
      <c r="AI1133" t="s">
        <v>1234</v>
      </c>
      <c r="AJ1133">
        <v>45.912745000000001</v>
      </c>
      <c r="AK1133" t="s">
        <v>1235</v>
      </c>
      <c r="AL1133">
        <v>-89.058651999999995</v>
      </c>
      <c r="AM1133">
        <v>100</v>
      </c>
      <c r="AN1133">
        <v>15500</v>
      </c>
      <c r="AO1133" t="s">
        <v>118</v>
      </c>
      <c r="AP1133">
        <v>103</v>
      </c>
      <c r="AQ1133">
        <v>82</v>
      </c>
      <c r="AR1133">
        <v>-192</v>
      </c>
      <c r="AZ1133">
        <v>1200</v>
      </c>
      <c r="BA1133">
        <v>1</v>
      </c>
      <c r="BB1133" t="str">
        <f t="shared" si="57"/>
        <v xml:space="preserve">N690LS  </v>
      </c>
      <c r="BC1133">
        <v>1</v>
      </c>
      <c r="BE1133">
        <v>0</v>
      </c>
      <c r="BF1133">
        <v>0</v>
      </c>
      <c r="BG1133">
        <v>0</v>
      </c>
      <c r="BH1133">
        <v>16050</v>
      </c>
      <c r="BI1133">
        <v>1</v>
      </c>
      <c r="BJ1133">
        <v>1</v>
      </c>
      <c r="BK1133">
        <v>1</v>
      </c>
      <c r="BL1133">
        <v>0</v>
      </c>
      <c r="BO1133">
        <v>0</v>
      </c>
      <c r="BP1133">
        <v>0</v>
      </c>
      <c r="BW1133" t="str">
        <f>"13:59:55.999"</f>
        <v>13:59:55.999</v>
      </c>
      <c r="CJ1133">
        <v>0</v>
      </c>
      <c r="CK1133">
        <v>2</v>
      </c>
      <c r="CL1133">
        <v>0</v>
      </c>
      <c r="CM1133">
        <v>2</v>
      </c>
      <c r="CN1133">
        <v>0</v>
      </c>
      <c r="CO1133">
        <v>7</v>
      </c>
      <c r="CP1133" t="s">
        <v>119</v>
      </c>
      <c r="CQ1133">
        <v>209</v>
      </c>
      <c r="CR1133">
        <v>3</v>
      </c>
      <c r="CW1133">
        <v>7288743</v>
      </c>
      <c r="CY1133">
        <v>1</v>
      </c>
      <c r="CZ1133">
        <v>0</v>
      </c>
      <c r="DA1133">
        <v>0</v>
      </c>
      <c r="DB1133">
        <v>0</v>
      </c>
      <c r="DC1133">
        <v>0</v>
      </c>
      <c r="DD1133">
        <v>1</v>
      </c>
      <c r="DE1133">
        <v>0</v>
      </c>
      <c r="DF1133">
        <v>0</v>
      </c>
      <c r="DG1133">
        <v>0</v>
      </c>
      <c r="DH1133">
        <v>0</v>
      </c>
      <c r="DI1133">
        <v>0</v>
      </c>
    </row>
    <row r="1134" spans="1:113" x14ac:dyDescent="0.3">
      <c r="A1134" t="str">
        <f>"09/28/2021 13:59:56.184"</f>
        <v>09/28/2021 13:59:56.184</v>
      </c>
      <c r="C1134" t="str">
        <f t="shared" si="56"/>
        <v>FFDFD3C0</v>
      </c>
      <c r="D1134" t="s">
        <v>120</v>
      </c>
      <c r="E1134">
        <v>12</v>
      </c>
      <c r="F1134">
        <v>1012</v>
      </c>
      <c r="G1134" t="s">
        <v>114</v>
      </c>
      <c r="J1134" t="s">
        <v>121</v>
      </c>
      <c r="K1134">
        <v>0</v>
      </c>
      <c r="L1134">
        <v>3</v>
      </c>
      <c r="M1134">
        <v>0</v>
      </c>
      <c r="N1134">
        <v>2</v>
      </c>
      <c r="O1134">
        <v>1</v>
      </c>
      <c r="P1134">
        <v>0</v>
      </c>
      <c r="Q1134">
        <v>0</v>
      </c>
      <c r="S1134" t="str">
        <f>"13:59:55.992"</f>
        <v>13:59:55.992</v>
      </c>
      <c r="T1134" t="str">
        <f>"13:59:55.592"</f>
        <v>13:59:55.592</v>
      </c>
      <c r="U1134" t="str">
        <f t="shared" si="55"/>
        <v>A92BC1</v>
      </c>
      <c r="V1134">
        <v>0</v>
      </c>
      <c r="W1134">
        <v>0</v>
      </c>
      <c r="X1134">
        <v>2</v>
      </c>
      <c r="Z1134">
        <v>0</v>
      </c>
      <c r="AA1134">
        <v>9</v>
      </c>
      <c r="AB1134">
        <v>3</v>
      </c>
      <c r="AC1134">
        <v>0</v>
      </c>
      <c r="AD1134">
        <v>10</v>
      </c>
      <c r="AE1134">
        <v>0</v>
      </c>
      <c r="AF1134">
        <v>3</v>
      </c>
      <c r="AG1134">
        <v>2</v>
      </c>
      <c r="AH1134">
        <v>0</v>
      </c>
      <c r="AI1134" t="s">
        <v>1234</v>
      </c>
      <c r="AJ1134">
        <v>45.912745000000001</v>
      </c>
      <c r="AK1134" t="s">
        <v>1235</v>
      </c>
      <c r="AL1134">
        <v>-89.058651999999995</v>
      </c>
      <c r="AM1134">
        <v>100</v>
      </c>
      <c r="AN1134">
        <v>15500</v>
      </c>
      <c r="AO1134" t="s">
        <v>118</v>
      </c>
      <c r="AP1134">
        <v>103</v>
      </c>
      <c r="AQ1134">
        <v>82</v>
      </c>
      <c r="AR1134">
        <v>-192</v>
      </c>
      <c r="AZ1134">
        <v>1200</v>
      </c>
      <c r="BA1134">
        <v>1</v>
      </c>
      <c r="BB1134" t="str">
        <f t="shared" si="57"/>
        <v xml:space="preserve">N690LS  </v>
      </c>
      <c r="BC1134">
        <v>1</v>
      </c>
      <c r="BE1134">
        <v>0</v>
      </c>
      <c r="BF1134">
        <v>0</v>
      </c>
      <c r="BG1134">
        <v>0</v>
      </c>
      <c r="BH1134">
        <v>16050</v>
      </c>
      <c r="BI1134">
        <v>1</v>
      </c>
      <c r="BJ1134">
        <v>1</v>
      </c>
      <c r="BK1134">
        <v>1</v>
      </c>
      <c r="BL1134">
        <v>0</v>
      </c>
      <c r="BO1134">
        <v>0</v>
      </c>
      <c r="BP1134">
        <v>0</v>
      </c>
      <c r="BW1134" t="str">
        <f>"13:59:55.999"</f>
        <v>13:59:55.999</v>
      </c>
      <c r="CJ1134">
        <v>0</v>
      </c>
      <c r="CK1134">
        <v>2</v>
      </c>
      <c r="CL1134">
        <v>0</v>
      </c>
      <c r="CM1134">
        <v>2</v>
      </c>
      <c r="CN1134">
        <v>0</v>
      </c>
      <c r="CO1134">
        <v>7</v>
      </c>
      <c r="CP1134" t="s">
        <v>119</v>
      </c>
      <c r="CQ1134">
        <v>209</v>
      </c>
      <c r="CR1134">
        <v>3</v>
      </c>
      <c r="CW1134">
        <v>7288743</v>
      </c>
      <c r="CY1134">
        <v>1</v>
      </c>
      <c r="CZ1134">
        <v>0</v>
      </c>
      <c r="DA1134">
        <v>1</v>
      </c>
      <c r="DB1134">
        <v>0</v>
      </c>
      <c r="DC1134">
        <v>0</v>
      </c>
      <c r="DD1134">
        <v>1</v>
      </c>
      <c r="DE1134">
        <v>0</v>
      </c>
      <c r="DF1134">
        <v>0</v>
      </c>
      <c r="DG1134">
        <v>0</v>
      </c>
      <c r="DH1134">
        <v>0</v>
      </c>
      <c r="DI1134">
        <v>0</v>
      </c>
    </row>
    <row r="1135" spans="1:113" x14ac:dyDescent="0.3">
      <c r="A1135" t="str">
        <f>"09/28/2021 13:59:57.278"</f>
        <v>09/28/2021 13:59:57.278</v>
      </c>
      <c r="C1135" t="str">
        <f t="shared" si="56"/>
        <v>FFDFD3C0</v>
      </c>
      <c r="D1135" t="s">
        <v>120</v>
      </c>
      <c r="E1135">
        <v>12</v>
      </c>
      <c r="F1135">
        <v>1012</v>
      </c>
      <c r="G1135" t="s">
        <v>114</v>
      </c>
      <c r="J1135" t="s">
        <v>121</v>
      </c>
      <c r="K1135">
        <v>0</v>
      </c>
      <c r="L1135">
        <v>3</v>
      </c>
      <c r="M1135">
        <v>0</v>
      </c>
      <c r="N1135">
        <v>2</v>
      </c>
      <c r="O1135">
        <v>1</v>
      </c>
      <c r="P1135">
        <v>0</v>
      </c>
      <c r="Q1135">
        <v>0</v>
      </c>
      <c r="S1135" t="str">
        <f>"13:59:57.070"</f>
        <v>13:59:57.070</v>
      </c>
      <c r="T1135" t="str">
        <f>"13:59:56.570"</f>
        <v>13:59:56.570</v>
      </c>
      <c r="U1135" t="str">
        <f t="shared" si="55"/>
        <v>A92BC1</v>
      </c>
      <c r="V1135">
        <v>0</v>
      </c>
      <c r="W1135">
        <v>0</v>
      </c>
      <c r="X1135">
        <v>2</v>
      </c>
      <c r="Z1135">
        <v>0</v>
      </c>
      <c r="AA1135">
        <v>9</v>
      </c>
      <c r="AB1135">
        <v>3</v>
      </c>
      <c r="AC1135">
        <v>0</v>
      </c>
      <c r="AD1135">
        <v>10</v>
      </c>
      <c r="AE1135">
        <v>0</v>
      </c>
      <c r="AF1135">
        <v>3</v>
      </c>
      <c r="AG1135">
        <v>2</v>
      </c>
      <c r="AH1135">
        <v>0</v>
      </c>
      <c r="AI1135" t="s">
        <v>1236</v>
      </c>
      <c r="AJ1135">
        <v>45.913173999999998</v>
      </c>
      <c r="AK1135" t="s">
        <v>1237</v>
      </c>
      <c r="AL1135">
        <v>-89.057922000000005</v>
      </c>
      <c r="AM1135">
        <v>100</v>
      </c>
      <c r="AN1135">
        <v>15500</v>
      </c>
      <c r="AO1135" t="s">
        <v>118</v>
      </c>
      <c r="AP1135">
        <v>102</v>
      </c>
      <c r="AQ1135">
        <v>81</v>
      </c>
      <c r="AR1135">
        <v>-192</v>
      </c>
      <c r="AZ1135">
        <v>1200</v>
      </c>
      <c r="BA1135">
        <v>1</v>
      </c>
      <c r="BB1135" t="str">
        <f t="shared" si="57"/>
        <v xml:space="preserve">N690LS  </v>
      </c>
      <c r="BC1135">
        <v>1</v>
      </c>
      <c r="BE1135">
        <v>0</v>
      </c>
      <c r="BF1135">
        <v>0</v>
      </c>
      <c r="BG1135">
        <v>0</v>
      </c>
      <c r="BH1135">
        <v>16050</v>
      </c>
      <c r="BI1135">
        <v>1</v>
      </c>
      <c r="BJ1135">
        <v>1</v>
      </c>
      <c r="BK1135">
        <v>1</v>
      </c>
      <c r="BL1135">
        <v>0</v>
      </c>
      <c r="BO1135">
        <v>0</v>
      </c>
      <c r="BP1135">
        <v>0</v>
      </c>
      <c r="BW1135" t="str">
        <f>"13:59:57.075"</f>
        <v>13:59:57.075</v>
      </c>
      <c r="CJ1135">
        <v>0</v>
      </c>
      <c r="CK1135">
        <v>2</v>
      </c>
      <c r="CL1135">
        <v>0</v>
      </c>
      <c r="CM1135">
        <v>2</v>
      </c>
      <c r="CN1135">
        <v>0</v>
      </c>
      <c r="CO1135">
        <v>7</v>
      </c>
      <c r="CP1135" t="s">
        <v>119</v>
      </c>
      <c r="CQ1135">
        <v>209</v>
      </c>
      <c r="CR1135">
        <v>3</v>
      </c>
      <c r="CW1135">
        <v>7289126</v>
      </c>
      <c r="CY1135">
        <v>1</v>
      </c>
      <c r="CZ1135">
        <v>0</v>
      </c>
      <c r="DA1135">
        <v>0</v>
      </c>
      <c r="DB1135">
        <v>0</v>
      </c>
      <c r="DC1135">
        <v>0</v>
      </c>
      <c r="DD1135">
        <v>1</v>
      </c>
      <c r="DE1135">
        <v>0</v>
      </c>
      <c r="DF1135">
        <v>0</v>
      </c>
      <c r="DG1135">
        <v>0</v>
      </c>
      <c r="DH1135">
        <v>0</v>
      </c>
      <c r="DI1135">
        <v>0</v>
      </c>
    </row>
    <row r="1136" spans="1:113" x14ac:dyDescent="0.3">
      <c r="A1136" t="str">
        <f>"09/28/2021 13:59:57.278"</f>
        <v>09/28/2021 13:59:57.278</v>
      </c>
      <c r="C1136" t="str">
        <f t="shared" si="56"/>
        <v>FFDFD3C0</v>
      </c>
      <c r="D1136" t="s">
        <v>113</v>
      </c>
      <c r="E1136">
        <v>7</v>
      </c>
      <c r="H1136">
        <v>170</v>
      </c>
      <c r="I1136" t="s">
        <v>114</v>
      </c>
      <c r="J1136" t="s">
        <v>115</v>
      </c>
      <c r="K1136">
        <v>0</v>
      </c>
      <c r="L1136">
        <v>3</v>
      </c>
      <c r="M1136">
        <v>0</v>
      </c>
      <c r="N1136">
        <v>2</v>
      </c>
      <c r="O1136">
        <v>1</v>
      </c>
      <c r="P1136">
        <v>0</v>
      </c>
      <c r="Q1136">
        <v>0</v>
      </c>
      <c r="S1136" t="str">
        <f>"13:59:57.070"</f>
        <v>13:59:57.070</v>
      </c>
      <c r="T1136" t="str">
        <f>"13:59:56.570"</f>
        <v>13:59:56.570</v>
      </c>
      <c r="U1136" t="str">
        <f t="shared" si="55"/>
        <v>A92BC1</v>
      </c>
      <c r="V1136">
        <v>0</v>
      </c>
      <c r="W1136">
        <v>0</v>
      </c>
      <c r="X1136">
        <v>2</v>
      </c>
      <c r="Z1136">
        <v>0</v>
      </c>
      <c r="AA1136">
        <v>9</v>
      </c>
      <c r="AB1136">
        <v>3</v>
      </c>
      <c r="AC1136">
        <v>0</v>
      </c>
      <c r="AD1136">
        <v>10</v>
      </c>
      <c r="AE1136">
        <v>0</v>
      </c>
      <c r="AF1136">
        <v>3</v>
      </c>
      <c r="AG1136">
        <v>2</v>
      </c>
      <c r="AH1136">
        <v>0</v>
      </c>
      <c r="AI1136" t="s">
        <v>1236</v>
      </c>
      <c r="AJ1136">
        <v>45.913173999999998</v>
      </c>
      <c r="AK1136" t="s">
        <v>1237</v>
      </c>
      <c r="AL1136">
        <v>-89.057922000000005</v>
      </c>
      <c r="AM1136">
        <v>100</v>
      </c>
      <c r="AN1136">
        <v>15500</v>
      </c>
      <c r="AO1136" t="s">
        <v>118</v>
      </c>
      <c r="AP1136">
        <v>102</v>
      </c>
      <c r="AQ1136">
        <v>81</v>
      </c>
      <c r="AR1136">
        <v>-192</v>
      </c>
      <c r="AZ1136">
        <v>1200</v>
      </c>
      <c r="BA1136">
        <v>1</v>
      </c>
      <c r="BB1136" t="str">
        <f t="shared" si="57"/>
        <v xml:space="preserve">N690LS  </v>
      </c>
      <c r="BC1136">
        <v>1</v>
      </c>
      <c r="BE1136">
        <v>0</v>
      </c>
      <c r="BF1136">
        <v>0</v>
      </c>
      <c r="BG1136">
        <v>0</v>
      </c>
      <c r="BH1136">
        <v>16050</v>
      </c>
      <c r="BI1136">
        <v>1</v>
      </c>
      <c r="BJ1136">
        <v>1</v>
      </c>
      <c r="BK1136">
        <v>1</v>
      </c>
      <c r="BL1136">
        <v>0</v>
      </c>
      <c r="BO1136">
        <v>0</v>
      </c>
      <c r="BP1136">
        <v>0</v>
      </c>
      <c r="BW1136" t="str">
        <f>"13:59:57.075"</f>
        <v>13:59:57.075</v>
      </c>
      <c r="CJ1136">
        <v>0</v>
      </c>
      <c r="CK1136">
        <v>2</v>
      </c>
      <c r="CL1136">
        <v>0</v>
      </c>
      <c r="CM1136">
        <v>2</v>
      </c>
      <c r="CN1136">
        <v>0</v>
      </c>
      <c r="CO1136">
        <v>7</v>
      </c>
      <c r="CP1136" t="s">
        <v>119</v>
      </c>
      <c r="CQ1136">
        <v>209</v>
      </c>
      <c r="CR1136">
        <v>3</v>
      </c>
      <c r="CW1136">
        <v>7289126</v>
      </c>
      <c r="CY1136">
        <v>1</v>
      </c>
      <c r="CZ1136">
        <v>0</v>
      </c>
      <c r="DA1136">
        <v>1</v>
      </c>
      <c r="DB1136">
        <v>0</v>
      </c>
      <c r="DC1136">
        <v>0</v>
      </c>
      <c r="DD1136">
        <v>1</v>
      </c>
      <c r="DE1136">
        <v>0</v>
      </c>
      <c r="DF1136">
        <v>0</v>
      </c>
      <c r="DG1136">
        <v>0</v>
      </c>
      <c r="DH1136">
        <v>0</v>
      </c>
      <c r="DI1136">
        <v>0</v>
      </c>
    </row>
    <row r="1137" spans="1:113" x14ac:dyDescent="0.3">
      <c r="A1137" t="str">
        <f>"09/28/2021 13:59:58.325"</f>
        <v>09/28/2021 13:59:58.325</v>
      </c>
      <c r="C1137" t="str">
        <f t="shared" si="56"/>
        <v>FFDFD3C0</v>
      </c>
      <c r="D1137" t="s">
        <v>120</v>
      </c>
      <c r="E1137">
        <v>12</v>
      </c>
      <c r="F1137">
        <v>1012</v>
      </c>
      <c r="G1137" t="s">
        <v>114</v>
      </c>
      <c r="J1137" t="s">
        <v>121</v>
      </c>
      <c r="K1137">
        <v>0</v>
      </c>
      <c r="L1137">
        <v>3</v>
      </c>
      <c r="M1137">
        <v>0</v>
      </c>
      <c r="N1137">
        <v>2</v>
      </c>
      <c r="O1137">
        <v>1</v>
      </c>
      <c r="P1137">
        <v>0</v>
      </c>
      <c r="Q1137">
        <v>0</v>
      </c>
      <c r="S1137" t="str">
        <f>"13:59:58.117"</f>
        <v>13:59:58.117</v>
      </c>
      <c r="T1137" t="str">
        <f>"13:59:57.717"</f>
        <v>13:59:57.717</v>
      </c>
      <c r="U1137" t="str">
        <f t="shared" si="55"/>
        <v>A92BC1</v>
      </c>
      <c r="V1137">
        <v>0</v>
      </c>
      <c r="W1137">
        <v>0</v>
      </c>
      <c r="X1137">
        <v>2</v>
      </c>
      <c r="Z1137">
        <v>0</v>
      </c>
      <c r="AA1137">
        <v>9</v>
      </c>
      <c r="AB1137">
        <v>3</v>
      </c>
      <c r="AC1137">
        <v>0</v>
      </c>
      <c r="AD1137">
        <v>10</v>
      </c>
      <c r="AE1137">
        <v>0</v>
      </c>
      <c r="AF1137">
        <v>3</v>
      </c>
      <c r="AG1137">
        <v>2</v>
      </c>
      <c r="AH1137">
        <v>0</v>
      </c>
      <c r="AI1137" t="s">
        <v>1238</v>
      </c>
      <c r="AJ1137">
        <v>45.913539</v>
      </c>
      <c r="AK1137" t="s">
        <v>1239</v>
      </c>
      <c r="AL1137">
        <v>-89.057299999999998</v>
      </c>
      <c r="AM1137">
        <v>100</v>
      </c>
      <c r="AN1137">
        <v>15500</v>
      </c>
      <c r="AO1137" t="s">
        <v>118</v>
      </c>
      <c r="AP1137">
        <v>101</v>
      </c>
      <c r="AQ1137">
        <v>80</v>
      </c>
      <c r="AR1137">
        <v>-192</v>
      </c>
      <c r="AZ1137">
        <v>1200</v>
      </c>
      <c r="BA1137">
        <v>1</v>
      </c>
      <c r="BB1137" t="str">
        <f t="shared" si="57"/>
        <v xml:space="preserve">N690LS  </v>
      </c>
      <c r="BC1137">
        <v>1</v>
      </c>
      <c r="BE1137">
        <v>0</v>
      </c>
      <c r="BF1137">
        <v>0</v>
      </c>
      <c r="BG1137">
        <v>0</v>
      </c>
      <c r="BH1137">
        <v>16050</v>
      </c>
      <c r="BI1137">
        <v>1</v>
      </c>
      <c r="BJ1137">
        <v>1</v>
      </c>
      <c r="BK1137">
        <v>1</v>
      </c>
      <c r="BL1137">
        <v>0</v>
      </c>
      <c r="BO1137">
        <v>0</v>
      </c>
      <c r="BP1137">
        <v>0</v>
      </c>
      <c r="BW1137" t="str">
        <f>"13:59:58.122"</f>
        <v>13:59:58.122</v>
      </c>
      <c r="CJ1137">
        <v>0</v>
      </c>
      <c r="CK1137">
        <v>2</v>
      </c>
      <c r="CL1137">
        <v>0</v>
      </c>
      <c r="CM1137">
        <v>2</v>
      </c>
      <c r="CN1137">
        <v>0</v>
      </c>
      <c r="CO1137">
        <v>7</v>
      </c>
      <c r="CP1137" t="s">
        <v>119</v>
      </c>
      <c r="CQ1137">
        <v>209</v>
      </c>
      <c r="CR1137">
        <v>3</v>
      </c>
      <c r="CW1137">
        <v>7289503</v>
      </c>
      <c r="CY1137">
        <v>1</v>
      </c>
      <c r="CZ1137">
        <v>0</v>
      </c>
      <c r="DA1137">
        <v>0</v>
      </c>
      <c r="DB1137">
        <v>0</v>
      </c>
      <c r="DC1137">
        <v>0</v>
      </c>
      <c r="DD1137">
        <v>1</v>
      </c>
      <c r="DE1137">
        <v>0</v>
      </c>
      <c r="DF1137">
        <v>0</v>
      </c>
      <c r="DG1137">
        <v>0</v>
      </c>
      <c r="DH1137">
        <v>0</v>
      </c>
      <c r="DI1137">
        <v>0</v>
      </c>
    </row>
    <row r="1138" spans="1:113" x14ac:dyDescent="0.3">
      <c r="A1138" t="str">
        <f>"09/28/2021 13:59:58.325"</f>
        <v>09/28/2021 13:59:58.325</v>
      </c>
      <c r="C1138" t="str">
        <f t="shared" si="56"/>
        <v>FFDFD3C0</v>
      </c>
      <c r="D1138" t="s">
        <v>113</v>
      </c>
      <c r="E1138">
        <v>7</v>
      </c>
      <c r="H1138">
        <v>170</v>
      </c>
      <c r="I1138" t="s">
        <v>114</v>
      </c>
      <c r="J1138" t="s">
        <v>115</v>
      </c>
      <c r="K1138">
        <v>0</v>
      </c>
      <c r="L1138">
        <v>3</v>
      </c>
      <c r="M1138">
        <v>0</v>
      </c>
      <c r="N1138">
        <v>2</v>
      </c>
      <c r="O1138">
        <v>1</v>
      </c>
      <c r="P1138">
        <v>0</v>
      </c>
      <c r="Q1138">
        <v>0</v>
      </c>
      <c r="S1138" t="str">
        <f>"13:59:58.117"</f>
        <v>13:59:58.117</v>
      </c>
      <c r="T1138" t="str">
        <f>"13:59:57.717"</f>
        <v>13:59:57.717</v>
      </c>
      <c r="U1138" t="str">
        <f t="shared" si="55"/>
        <v>A92BC1</v>
      </c>
      <c r="V1138">
        <v>0</v>
      </c>
      <c r="W1138">
        <v>0</v>
      </c>
      <c r="X1138">
        <v>2</v>
      </c>
      <c r="Z1138">
        <v>0</v>
      </c>
      <c r="AA1138">
        <v>9</v>
      </c>
      <c r="AB1138">
        <v>3</v>
      </c>
      <c r="AC1138">
        <v>0</v>
      </c>
      <c r="AD1138">
        <v>10</v>
      </c>
      <c r="AE1138">
        <v>0</v>
      </c>
      <c r="AF1138">
        <v>3</v>
      </c>
      <c r="AG1138">
        <v>2</v>
      </c>
      <c r="AH1138">
        <v>0</v>
      </c>
      <c r="AI1138" t="s">
        <v>1238</v>
      </c>
      <c r="AJ1138">
        <v>45.913539</v>
      </c>
      <c r="AK1138" t="s">
        <v>1239</v>
      </c>
      <c r="AL1138">
        <v>-89.057299999999998</v>
      </c>
      <c r="AM1138">
        <v>100</v>
      </c>
      <c r="AN1138">
        <v>15500</v>
      </c>
      <c r="AO1138" t="s">
        <v>118</v>
      </c>
      <c r="AP1138">
        <v>101</v>
      </c>
      <c r="AQ1138">
        <v>80</v>
      </c>
      <c r="AR1138">
        <v>-192</v>
      </c>
      <c r="AZ1138">
        <v>1200</v>
      </c>
      <c r="BA1138">
        <v>1</v>
      </c>
      <c r="BB1138" t="str">
        <f t="shared" si="57"/>
        <v xml:space="preserve">N690LS  </v>
      </c>
      <c r="BC1138">
        <v>1</v>
      </c>
      <c r="BE1138">
        <v>0</v>
      </c>
      <c r="BF1138">
        <v>0</v>
      </c>
      <c r="BG1138">
        <v>0</v>
      </c>
      <c r="BH1138">
        <v>16050</v>
      </c>
      <c r="BI1138">
        <v>1</v>
      </c>
      <c r="BJ1138">
        <v>1</v>
      </c>
      <c r="BK1138">
        <v>1</v>
      </c>
      <c r="BL1138">
        <v>0</v>
      </c>
      <c r="BO1138">
        <v>0</v>
      </c>
      <c r="BP1138">
        <v>0</v>
      </c>
      <c r="BW1138" t="str">
        <f>"13:59:58.122"</f>
        <v>13:59:58.122</v>
      </c>
      <c r="CJ1138">
        <v>0</v>
      </c>
      <c r="CK1138">
        <v>2</v>
      </c>
      <c r="CL1138">
        <v>0</v>
      </c>
      <c r="CM1138">
        <v>2</v>
      </c>
      <c r="CN1138">
        <v>0</v>
      </c>
      <c r="CO1138">
        <v>7</v>
      </c>
      <c r="CP1138" t="s">
        <v>119</v>
      </c>
      <c r="CQ1138">
        <v>209</v>
      </c>
      <c r="CR1138">
        <v>3</v>
      </c>
      <c r="CW1138">
        <v>7289503</v>
      </c>
      <c r="CY1138">
        <v>1</v>
      </c>
      <c r="CZ1138">
        <v>0</v>
      </c>
      <c r="DA1138">
        <v>1</v>
      </c>
      <c r="DB1138">
        <v>0</v>
      </c>
      <c r="DC1138">
        <v>0</v>
      </c>
      <c r="DD1138">
        <v>1</v>
      </c>
      <c r="DE1138">
        <v>0</v>
      </c>
      <c r="DF1138">
        <v>0</v>
      </c>
      <c r="DG1138">
        <v>0</v>
      </c>
      <c r="DH1138">
        <v>0</v>
      </c>
      <c r="DI1138">
        <v>0</v>
      </c>
    </row>
    <row r="1139" spans="1:113" x14ac:dyDescent="0.3">
      <c r="A1139" t="str">
        <f>"09/28/2021 13:59:59.326"</f>
        <v>09/28/2021 13:59:59.326</v>
      </c>
      <c r="C1139" t="str">
        <f t="shared" si="56"/>
        <v>FFDFD3C0</v>
      </c>
      <c r="D1139" t="s">
        <v>113</v>
      </c>
      <c r="E1139">
        <v>7</v>
      </c>
      <c r="H1139">
        <v>170</v>
      </c>
      <c r="I1139" t="s">
        <v>114</v>
      </c>
      <c r="J1139" t="s">
        <v>115</v>
      </c>
      <c r="K1139">
        <v>0</v>
      </c>
      <c r="L1139">
        <v>3</v>
      </c>
      <c r="M1139">
        <v>0</v>
      </c>
      <c r="N1139">
        <v>2</v>
      </c>
      <c r="O1139">
        <v>1</v>
      </c>
      <c r="P1139">
        <v>0</v>
      </c>
      <c r="Q1139">
        <v>0</v>
      </c>
      <c r="S1139" t="str">
        <f>"13:59:59.148"</f>
        <v>13:59:59.148</v>
      </c>
      <c r="T1139" t="str">
        <f>"13:59:58.748"</f>
        <v>13:59:58.748</v>
      </c>
      <c r="U1139" t="str">
        <f t="shared" si="55"/>
        <v>A92BC1</v>
      </c>
      <c r="V1139">
        <v>0</v>
      </c>
      <c r="W1139">
        <v>0</v>
      </c>
      <c r="X1139">
        <v>2</v>
      </c>
      <c r="Z1139">
        <v>0</v>
      </c>
      <c r="AA1139">
        <v>9</v>
      </c>
      <c r="AB1139">
        <v>3</v>
      </c>
      <c r="AC1139">
        <v>0</v>
      </c>
      <c r="AD1139">
        <v>10</v>
      </c>
      <c r="AE1139">
        <v>0</v>
      </c>
      <c r="AF1139">
        <v>3</v>
      </c>
      <c r="AG1139">
        <v>2</v>
      </c>
      <c r="AH1139">
        <v>0</v>
      </c>
      <c r="AI1139" t="s">
        <v>1240</v>
      </c>
      <c r="AJ1139">
        <v>45.913924999999999</v>
      </c>
      <c r="AK1139" t="s">
        <v>1241</v>
      </c>
      <c r="AL1139">
        <v>-89.056505999999999</v>
      </c>
      <c r="AM1139">
        <v>100</v>
      </c>
      <c r="AN1139">
        <v>15500</v>
      </c>
      <c r="AO1139" t="s">
        <v>118</v>
      </c>
      <c r="AP1139">
        <v>100</v>
      </c>
      <c r="AQ1139">
        <v>79</v>
      </c>
      <c r="AR1139">
        <v>-192</v>
      </c>
      <c r="AZ1139">
        <v>1200</v>
      </c>
      <c r="BA1139">
        <v>1</v>
      </c>
      <c r="BB1139" t="str">
        <f t="shared" si="57"/>
        <v xml:space="preserve">N690LS  </v>
      </c>
      <c r="BC1139">
        <v>1</v>
      </c>
      <c r="BE1139">
        <v>0</v>
      </c>
      <c r="BF1139">
        <v>0</v>
      </c>
      <c r="BG1139">
        <v>0</v>
      </c>
      <c r="BH1139">
        <v>16025</v>
      </c>
      <c r="BI1139">
        <v>1</v>
      </c>
      <c r="BJ1139">
        <v>1</v>
      </c>
      <c r="BK1139">
        <v>1</v>
      </c>
      <c r="BL1139">
        <v>0</v>
      </c>
      <c r="BO1139">
        <v>0</v>
      </c>
      <c r="BP1139">
        <v>0</v>
      </c>
      <c r="BW1139" t="str">
        <f>"13:59:59.151"</f>
        <v>13:59:59.151</v>
      </c>
      <c r="CJ1139">
        <v>0</v>
      </c>
      <c r="CK1139">
        <v>2</v>
      </c>
      <c r="CL1139">
        <v>0</v>
      </c>
      <c r="CM1139">
        <v>2</v>
      </c>
      <c r="CN1139">
        <v>0</v>
      </c>
      <c r="CO1139">
        <v>7</v>
      </c>
      <c r="CP1139" t="s">
        <v>119</v>
      </c>
      <c r="CQ1139">
        <v>197</v>
      </c>
      <c r="CR1139">
        <v>1</v>
      </c>
      <c r="CW1139">
        <v>7606625</v>
      </c>
      <c r="CY1139">
        <v>1</v>
      </c>
      <c r="CZ1139">
        <v>0</v>
      </c>
      <c r="DA1139">
        <v>0</v>
      </c>
      <c r="DB1139">
        <v>0</v>
      </c>
      <c r="DC1139">
        <v>0</v>
      </c>
      <c r="DD1139">
        <v>1</v>
      </c>
      <c r="DE1139">
        <v>0</v>
      </c>
      <c r="DF1139">
        <v>0</v>
      </c>
      <c r="DG1139">
        <v>0</v>
      </c>
      <c r="DH1139">
        <v>0</v>
      </c>
      <c r="DI1139">
        <v>0</v>
      </c>
    </row>
    <row r="1140" spans="1:113" x14ac:dyDescent="0.3">
      <c r="A1140" t="str">
        <f>"09/28/2021 13:59:59.373"</f>
        <v>09/28/2021 13:59:59.373</v>
      </c>
      <c r="C1140" t="str">
        <f t="shared" si="56"/>
        <v>FFDFD3C0</v>
      </c>
      <c r="D1140" t="s">
        <v>120</v>
      </c>
      <c r="E1140">
        <v>12</v>
      </c>
      <c r="F1140">
        <v>1012</v>
      </c>
      <c r="G1140" t="s">
        <v>114</v>
      </c>
      <c r="J1140" t="s">
        <v>121</v>
      </c>
      <c r="K1140">
        <v>0</v>
      </c>
      <c r="L1140">
        <v>3</v>
      </c>
      <c r="M1140">
        <v>0</v>
      </c>
      <c r="N1140">
        <v>2</v>
      </c>
      <c r="O1140">
        <v>1</v>
      </c>
      <c r="P1140">
        <v>0</v>
      </c>
      <c r="Q1140">
        <v>0</v>
      </c>
      <c r="S1140" t="str">
        <f>"13:59:59.148"</f>
        <v>13:59:59.148</v>
      </c>
      <c r="T1140" t="str">
        <f>"13:59:58.748"</f>
        <v>13:59:58.748</v>
      </c>
      <c r="U1140" t="str">
        <f t="shared" si="55"/>
        <v>A92BC1</v>
      </c>
      <c r="V1140">
        <v>0</v>
      </c>
      <c r="W1140">
        <v>0</v>
      </c>
      <c r="X1140">
        <v>2</v>
      </c>
      <c r="Z1140">
        <v>0</v>
      </c>
      <c r="AA1140">
        <v>9</v>
      </c>
      <c r="AB1140">
        <v>3</v>
      </c>
      <c r="AC1140">
        <v>0</v>
      </c>
      <c r="AD1140">
        <v>10</v>
      </c>
      <c r="AE1140">
        <v>0</v>
      </c>
      <c r="AF1140">
        <v>3</v>
      </c>
      <c r="AG1140">
        <v>2</v>
      </c>
      <c r="AH1140">
        <v>0</v>
      </c>
      <c r="AI1140" t="s">
        <v>1240</v>
      </c>
      <c r="AJ1140">
        <v>45.913924999999999</v>
      </c>
      <c r="AK1140" t="s">
        <v>1241</v>
      </c>
      <c r="AL1140">
        <v>-89.056505999999999</v>
      </c>
      <c r="AM1140">
        <v>100</v>
      </c>
      <c r="AN1140">
        <v>15500</v>
      </c>
      <c r="AO1140" t="s">
        <v>118</v>
      </c>
      <c r="AP1140">
        <v>100</v>
      </c>
      <c r="AQ1140">
        <v>79</v>
      </c>
      <c r="AR1140">
        <v>-192</v>
      </c>
      <c r="AZ1140">
        <v>1200</v>
      </c>
      <c r="BA1140">
        <v>1</v>
      </c>
      <c r="BB1140" t="str">
        <f t="shared" si="57"/>
        <v xml:space="preserve">N690LS  </v>
      </c>
      <c r="BC1140">
        <v>1</v>
      </c>
      <c r="BE1140">
        <v>0</v>
      </c>
      <c r="BF1140">
        <v>0</v>
      </c>
      <c r="BG1140">
        <v>0</v>
      </c>
      <c r="BH1140">
        <v>16025</v>
      </c>
      <c r="BI1140">
        <v>1</v>
      </c>
      <c r="BJ1140">
        <v>1</v>
      </c>
      <c r="BK1140">
        <v>1</v>
      </c>
      <c r="BL1140">
        <v>0</v>
      </c>
      <c r="BO1140">
        <v>0</v>
      </c>
      <c r="BP1140">
        <v>0</v>
      </c>
      <c r="BW1140" t="str">
        <f>"13:59:59.151"</f>
        <v>13:59:59.151</v>
      </c>
      <c r="CJ1140">
        <v>0</v>
      </c>
      <c r="CK1140">
        <v>2</v>
      </c>
      <c r="CL1140">
        <v>0</v>
      </c>
      <c r="CM1140">
        <v>2</v>
      </c>
      <c r="CN1140">
        <v>0</v>
      </c>
      <c r="CO1140">
        <v>7</v>
      </c>
      <c r="CP1140" t="s">
        <v>119</v>
      </c>
      <c r="CQ1140">
        <v>197</v>
      </c>
      <c r="CR1140">
        <v>1</v>
      </c>
      <c r="CW1140">
        <v>7606625</v>
      </c>
      <c r="CY1140">
        <v>1</v>
      </c>
      <c r="CZ1140">
        <v>0</v>
      </c>
      <c r="DA1140">
        <v>1</v>
      </c>
      <c r="DB1140">
        <v>0</v>
      </c>
      <c r="DC1140">
        <v>0</v>
      </c>
      <c r="DD1140">
        <v>1</v>
      </c>
      <c r="DE1140">
        <v>0</v>
      </c>
      <c r="DF1140">
        <v>0</v>
      </c>
      <c r="DG1140">
        <v>0</v>
      </c>
      <c r="DH1140">
        <v>0</v>
      </c>
      <c r="DI1140">
        <v>0</v>
      </c>
    </row>
    <row r="1141" spans="1:113" x14ac:dyDescent="0.3">
      <c r="A1141" t="str">
        <f>"09/28/2021 14:00:00.232"</f>
        <v>09/28/2021 14:00:00.232</v>
      </c>
      <c r="C1141" t="str">
        <f t="shared" si="56"/>
        <v>FFDFD3C0</v>
      </c>
      <c r="D1141" t="s">
        <v>113</v>
      </c>
      <c r="E1141">
        <v>7</v>
      </c>
      <c r="H1141">
        <v>170</v>
      </c>
      <c r="I1141" t="s">
        <v>114</v>
      </c>
      <c r="J1141" t="s">
        <v>115</v>
      </c>
      <c r="K1141">
        <v>0</v>
      </c>
      <c r="L1141">
        <v>3</v>
      </c>
      <c r="M1141">
        <v>0</v>
      </c>
      <c r="N1141">
        <v>2</v>
      </c>
      <c r="O1141">
        <v>1</v>
      </c>
      <c r="P1141">
        <v>0</v>
      </c>
      <c r="Q1141">
        <v>0</v>
      </c>
      <c r="S1141" t="str">
        <f>"14:00:00.055"</f>
        <v>14:00:00.055</v>
      </c>
      <c r="T1141" t="str">
        <f>"13:59:59.655"</f>
        <v>13:59:59.655</v>
      </c>
      <c r="U1141" t="str">
        <f t="shared" si="55"/>
        <v>A92BC1</v>
      </c>
      <c r="V1141">
        <v>0</v>
      </c>
      <c r="W1141">
        <v>0</v>
      </c>
      <c r="X1141">
        <v>2</v>
      </c>
      <c r="Z1141">
        <v>0</v>
      </c>
      <c r="AA1141">
        <v>9</v>
      </c>
      <c r="AB1141">
        <v>3</v>
      </c>
      <c r="AC1141">
        <v>0</v>
      </c>
      <c r="AD1141">
        <v>10</v>
      </c>
      <c r="AE1141">
        <v>0</v>
      </c>
      <c r="AF1141">
        <v>3</v>
      </c>
      <c r="AG1141">
        <v>2</v>
      </c>
      <c r="AH1141">
        <v>0</v>
      </c>
      <c r="AI1141" t="s">
        <v>1242</v>
      </c>
      <c r="AJ1141">
        <v>45.914247000000003</v>
      </c>
      <c r="AK1141" t="s">
        <v>1243</v>
      </c>
      <c r="AL1141">
        <v>-89.055926999999997</v>
      </c>
      <c r="AM1141">
        <v>100</v>
      </c>
      <c r="AN1141">
        <v>15500</v>
      </c>
      <c r="AO1141" t="s">
        <v>118</v>
      </c>
      <c r="AP1141">
        <v>100</v>
      </c>
      <c r="AQ1141">
        <v>78</v>
      </c>
      <c r="AR1141">
        <v>-192</v>
      </c>
      <c r="AZ1141">
        <v>1200</v>
      </c>
      <c r="BA1141">
        <v>1</v>
      </c>
      <c r="BB1141" t="str">
        <f t="shared" si="57"/>
        <v xml:space="preserve">N690LS  </v>
      </c>
      <c r="BC1141">
        <v>1</v>
      </c>
      <c r="BE1141">
        <v>0</v>
      </c>
      <c r="BF1141">
        <v>0</v>
      </c>
      <c r="BG1141">
        <v>0</v>
      </c>
      <c r="BH1141">
        <v>16025</v>
      </c>
      <c r="BI1141">
        <v>1</v>
      </c>
      <c r="BJ1141">
        <v>1</v>
      </c>
      <c r="BK1141">
        <v>1</v>
      </c>
      <c r="BL1141">
        <v>0</v>
      </c>
      <c r="BO1141">
        <v>0</v>
      </c>
      <c r="BP1141">
        <v>0</v>
      </c>
      <c r="BW1141" t="str">
        <f>"14:00:00.061"</f>
        <v>14:00:00.061</v>
      </c>
      <c r="CJ1141">
        <v>0</v>
      </c>
      <c r="CK1141">
        <v>2</v>
      </c>
      <c r="CL1141">
        <v>0</v>
      </c>
      <c r="CM1141">
        <v>2</v>
      </c>
      <c r="CN1141">
        <v>0</v>
      </c>
      <c r="CO1141">
        <v>7</v>
      </c>
      <c r="CP1141" t="s">
        <v>119</v>
      </c>
      <c r="CQ1141">
        <v>209</v>
      </c>
      <c r="CR1141">
        <v>3</v>
      </c>
      <c r="CW1141">
        <v>7290264</v>
      </c>
      <c r="CY1141">
        <v>1</v>
      </c>
      <c r="CZ1141">
        <v>0</v>
      </c>
      <c r="DA1141">
        <v>0</v>
      </c>
      <c r="DB1141">
        <v>0</v>
      </c>
      <c r="DC1141">
        <v>0</v>
      </c>
      <c r="DD1141">
        <v>1</v>
      </c>
      <c r="DE1141">
        <v>0</v>
      </c>
      <c r="DF1141">
        <v>0</v>
      </c>
      <c r="DG1141">
        <v>0</v>
      </c>
      <c r="DH1141">
        <v>0</v>
      </c>
      <c r="DI1141">
        <v>0</v>
      </c>
    </row>
    <row r="1142" spans="1:113" x14ac:dyDescent="0.3">
      <c r="A1142" t="str">
        <f>"09/28/2021 14:00:00.326"</f>
        <v>09/28/2021 14:00:00.326</v>
      </c>
      <c r="C1142" t="str">
        <f t="shared" si="56"/>
        <v>FFDFD3C0</v>
      </c>
      <c r="D1142" t="s">
        <v>120</v>
      </c>
      <c r="E1142">
        <v>12</v>
      </c>
      <c r="F1142">
        <v>1012</v>
      </c>
      <c r="G1142" t="s">
        <v>114</v>
      </c>
      <c r="J1142" t="s">
        <v>121</v>
      </c>
      <c r="K1142">
        <v>0</v>
      </c>
      <c r="L1142">
        <v>3</v>
      </c>
      <c r="M1142">
        <v>0</v>
      </c>
      <c r="N1142">
        <v>2</v>
      </c>
      <c r="O1142">
        <v>1</v>
      </c>
      <c r="P1142">
        <v>0</v>
      </c>
      <c r="Q1142">
        <v>0</v>
      </c>
      <c r="S1142" t="str">
        <f>"14:00:00.055"</f>
        <v>14:00:00.055</v>
      </c>
      <c r="T1142" t="str">
        <f>"13:59:59.655"</f>
        <v>13:59:59.655</v>
      </c>
      <c r="U1142" t="str">
        <f t="shared" si="55"/>
        <v>A92BC1</v>
      </c>
      <c r="V1142">
        <v>0</v>
      </c>
      <c r="W1142">
        <v>0</v>
      </c>
      <c r="X1142">
        <v>2</v>
      </c>
      <c r="Z1142">
        <v>0</v>
      </c>
      <c r="AA1142">
        <v>9</v>
      </c>
      <c r="AB1142">
        <v>3</v>
      </c>
      <c r="AC1142">
        <v>0</v>
      </c>
      <c r="AD1142">
        <v>10</v>
      </c>
      <c r="AE1142">
        <v>0</v>
      </c>
      <c r="AF1142">
        <v>3</v>
      </c>
      <c r="AG1142">
        <v>2</v>
      </c>
      <c r="AH1142">
        <v>0</v>
      </c>
      <c r="AI1142" t="s">
        <v>1242</v>
      </c>
      <c r="AJ1142">
        <v>45.914247000000003</v>
      </c>
      <c r="AK1142" t="s">
        <v>1243</v>
      </c>
      <c r="AL1142">
        <v>-89.055926999999997</v>
      </c>
      <c r="AM1142">
        <v>100</v>
      </c>
      <c r="AN1142">
        <v>15500</v>
      </c>
      <c r="AO1142" t="s">
        <v>118</v>
      </c>
      <c r="AP1142">
        <v>100</v>
      </c>
      <c r="AQ1142">
        <v>78</v>
      </c>
      <c r="AR1142">
        <v>-192</v>
      </c>
      <c r="AZ1142">
        <v>1200</v>
      </c>
      <c r="BA1142">
        <v>1</v>
      </c>
      <c r="BB1142" t="str">
        <f t="shared" si="57"/>
        <v xml:space="preserve">N690LS  </v>
      </c>
      <c r="BC1142">
        <v>1</v>
      </c>
      <c r="BE1142">
        <v>0</v>
      </c>
      <c r="BF1142">
        <v>0</v>
      </c>
      <c r="BG1142">
        <v>0</v>
      </c>
      <c r="BH1142">
        <v>16025</v>
      </c>
      <c r="BI1142">
        <v>1</v>
      </c>
      <c r="BJ1142">
        <v>1</v>
      </c>
      <c r="BK1142">
        <v>1</v>
      </c>
      <c r="BL1142">
        <v>0</v>
      </c>
      <c r="BO1142">
        <v>0</v>
      </c>
      <c r="BP1142">
        <v>0</v>
      </c>
      <c r="BW1142" t="str">
        <f>"14:00:00.061"</f>
        <v>14:00:00.061</v>
      </c>
      <c r="CJ1142">
        <v>0</v>
      </c>
      <c r="CK1142">
        <v>2</v>
      </c>
      <c r="CL1142">
        <v>0</v>
      </c>
      <c r="CM1142">
        <v>2</v>
      </c>
      <c r="CN1142">
        <v>0</v>
      </c>
      <c r="CO1142">
        <v>7</v>
      </c>
      <c r="CP1142" t="s">
        <v>119</v>
      </c>
      <c r="CQ1142">
        <v>209</v>
      </c>
      <c r="CR1142">
        <v>3</v>
      </c>
      <c r="CW1142">
        <v>7290264</v>
      </c>
      <c r="CY1142">
        <v>1</v>
      </c>
      <c r="CZ1142">
        <v>0</v>
      </c>
      <c r="DA1142">
        <v>1</v>
      </c>
      <c r="DB1142">
        <v>0</v>
      </c>
      <c r="DC1142">
        <v>0</v>
      </c>
      <c r="DD1142">
        <v>1</v>
      </c>
      <c r="DE1142">
        <v>0</v>
      </c>
      <c r="DF1142">
        <v>0</v>
      </c>
      <c r="DG1142">
        <v>0</v>
      </c>
      <c r="DH1142">
        <v>0</v>
      </c>
      <c r="DI1142">
        <v>0</v>
      </c>
    </row>
    <row r="1143" spans="1:113" x14ac:dyDescent="0.3">
      <c r="A1143" t="str">
        <f>"09/28/2021 14:00:01.201"</f>
        <v>09/28/2021 14:00:01.201</v>
      </c>
      <c r="C1143" t="str">
        <f t="shared" si="56"/>
        <v>FFDFD3C0</v>
      </c>
      <c r="D1143" t="s">
        <v>120</v>
      </c>
      <c r="E1143">
        <v>12</v>
      </c>
      <c r="F1143">
        <v>1012</v>
      </c>
      <c r="G1143" t="s">
        <v>114</v>
      </c>
      <c r="J1143" t="s">
        <v>121</v>
      </c>
      <c r="K1143">
        <v>0</v>
      </c>
      <c r="L1143">
        <v>3</v>
      </c>
      <c r="M1143">
        <v>0</v>
      </c>
      <c r="N1143">
        <v>2</v>
      </c>
      <c r="O1143">
        <v>1</v>
      </c>
      <c r="P1143">
        <v>0</v>
      </c>
      <c r="Q1143">
        <v>0</v>
      </c>
      <c r="S1143" t="str">
        <f>"14:00:00.961"</f>
        <v>14:00:00.961</v>
      </c>
      <c r="T1143" t="str">
        <f>"14:00:00.561"</f>
        <v>14:00:00.561</v>
      </c>
      <c r="U1143" t="str">
        <f t="shared" si="55"/>
        <v>A92BC1</v>
      </c>
      <c r="V1143">
        <v>0</v>
      </c>
      <c r="W1143">
        <v>0</v>
      </c>
      <c r="X1143">
        <v>2</v>
      </c>
      <c r="Z1143">
        <v>0</v>
      </c>
      <c r="AA1143">
        <v>9</v>
      </c>
      <c r="AB1143">
        <v>3</v>
      </c>
      <c r="AC1143">
        <v>0</v>
      </c>
      <c r="AD1143">
        <v>10</v>
      </c>
      <c r="AE1143">
        <v>0</v>
      </c>
      <c r="AF1143">
        <v>3</v>
      </c>
      <c r="AG1143">
        <v>2</v>
      </c>
      <c r="AH1143">
        <v>0</v>
      </c>
      <c r="AI1143" t="s">
        <v>1244</v>
      </c>
      <c r="AJ1143">
        <v>45.914569</v>
      </c>
      <c r="AK1143" t="s">
        <v>1245</v>
      </c>
      <c r="AL1143">
        <v>-89.055368999999999</v>
      </c>
      <c r="AM1143">
        <v>100</v>
      </c>
      <c r="AN1143">
        <v>15500</v>
      </c>
      <c r="AO1143" t="s">
        <v>118</v>
      </c>
      <c r="AP1143">
        <v>99</v>
      </c>
      <c r="AQ1143">
        <v>77</v>
      </c>
      <c r="AR1143">
        <v>-192</v>
      </c>
      <c r="AZ1143">
        <v>1200</v>
      </c>
      <c r="BA1143">
        <v>1</v>
      </c>
      <c r="BB1143" t="str">
        <f t="shared" si="57"/>
        <v xml:space="preserve">N690LS  </v>
      </c>
      <c r="BC1143">
        <v>1</v>
      </c>
      <c r="BE1143">
        <v>0</v>
      </c>
      <c r="BF1143">
        <v>0</v>
      </c>
      <c r="BG1143">
        <v>0</v>
      </c>
      <c r="BH1143">
        <v>16025</v>
      </c>
      <c r="BI1143">
        <v>1</v>
      </c>
      <c r="BJ1143">
        <v>1</v>
      </c>
      <c r="BK1143">
        <v>1</v>
      </c>
      <c r="BL1143">
        <v>0</v>
      </c>
      <c r="BO1143">
        <v>0</v>
      </c>
      <c r="BP1143">
        <v>0</v>
      </c>
      <c r="BW1143" t="str">
        <f>"14:00:00.965"</f>
        <v>14:00:00.965</v>
      </c>
      <c r="CJ1143">
        <v>0</v>
      </c>
      <c r="CK1143">
        <v>2</v>
      </c>
      <c r="CL1143">
        <v>0</v>
      </c>
      <c r="CM1143">
        <v>2</v>
      </c>
      <c r="CN1143">
        <v>0</v>
      </c>
      <c r="CO1143">
        <v>7</v>
      </c>
      <c r="CP1143" t="s">
        <v>119</v>
      </c>
      <c r="CQ1143">
        <v>209</v>
      </c>
      <c r="CR1143">
        <v>3</v>
      </c>
      <c r="CW1143">
        <v>7290597</v>
      </c>
      <c r="CY1143">
        <v>1</v>
      </c>
      <c r="CZ1143">
        <v>0</v>
      </c>
      <c r="DA1143">
        <v>0</v>
      </c>
      <c r="DB1143">
        <v>0</v>
      </c>
      <c r="DC1143">
        <v>0</v>
      </c>
      <c r="DD1143">
        <v>1</v>
      </c>
      <c r="DE1143">
        <v>0</v>
      </c>
      <c r="DF1143">
        <v>0</v>
      </c>
      <c r="DG1143">
        <v>0</v>
      </c>
      <c r="DH1143">
        <v>0</v>
      </c>
      <c r="DI1143">
        <v>0</v>
      </c>
    </row>
    <row r="1144" spans="1:113" x14ac:dyDescent="0.3">
      <c r="A1144" t="str">
        <f>"09/28/2021 14:00:01.201"</f>
        <v>09/28/2021 14:00:01.201</v>
      </c>
      <c r="C1144" t="str">
        <f t="shared" si="56"/>
        <v>FFDFD3C0</v>
      </c>
      <c r="D1144" t="s">
        <v>113</v>
      </c>
      <c r="E1144">
        <v>7</v>
      </c>
      <c r="H1144">
        <v>170</v>
      </c>
      <c r="I1144" t="s">
        <v>114</v>
      </c>
      <c r="J1144" t="s">
        <v>115</v>
      </c>
      <c r="K1144">
        <v>0</v>
      </c>
      <c r="L1144">
        <v>3</v>
      </c>
      <c r="M1144">
        <v>0</v>
      </c>
      <c r="N1144">
        <v>2</v>
      </c>
      <c r="O1144">
        <v>1</v>
      </c>
      <c r="P1144">
        <v>0</v>
      </c>
      <c r="Q1144">
        <v>0</v>
      </c>
      <c r="S1144" t="str">
        <f>"14:00:00.961"</f>
        <v>14:00:00.961</v>
      </c>
      <c r="T1144" t="str">
        <f>"14:00:00.561"</f>
        <v>14:00:00.561</v>
      </c>
      <c r="U1144" t="str">
        <f t="shared" si="55"/>
        <v>A92BC1</v>
      </c>
      <c r="V1144">
        <v>0</v>
      </c>
      <c r="W1144">
        <v>0</v>
      </c>
      <c r="X1144">
        <v>2</v>
      </c>
      <c r="Z1144">
        <v>0</v>
      </c>
      <c r="AA1144">
        <v>9</v>
      </c>
      <c r="AB1144">
        <v>3</v>
      </c>
      <c r="AC1144">
        <v>0</v>
      </c>
      <c r="AD1144">
        <v>10</v>
      </c>
      <c r="AE1144">
        <v>0</v>
      </c>
      <c r="AF1144">
        <v>3</v>
      </c>
      <c r="AG1144">
        <v>2</v>
      </c>
      <c r="AH1144">
        <v>0</v>
      </c>
      <c r="AI1144" t="s">
        <v>1244</v>
      </c>
      <c r="AJ1144">
        <v>45.914569</v>
      </c>
      <c r="AK1144" t="s">
        <v>1245</v>
      </c>
      <c r="AL1144">
        <v>-89.055368999999999</v>
      </c>
      <c r="AM1144">
        <v>100</v>
      </c>
      <c r="AN1144">
        <v>15500</v>
      </c>
      <c r="AO1144" t="s">
        <v>118</v>
      </c>
      <c r="AP1144">
        <v>99</v>
      </c>
      <c r="AQ1144">
        <v>77</v>
      </c>
      <c r="AR1144">
        <v>-192</v>
      </c>
      <c r="AZ1144">
        <v>1200</v>
      </c>
      <c r="BA1144">
        <v>1</v>
      </c>
      <c r="BB1144" t="str">
        <f t="shared" si="57"/>
        <v xml:space="preserve">N690LS  </v>
      </c>
      <c r="BC1144">
        <v>1</v>
      </c>
      <c r="BE1144">
        <v>0</v>
      </c>
      <c r="BF1144">
        <v>0</v>
      </c>
      <c r="BG1144">
        <v>0</v>
      </c>
      <c r="BH1144">
        <v>16025</v>
      </c>
      <c r="BI1144">
        <v>1</v>
      </c>
      <c r="BJ1144">
        <v>1</v>
      </c>
      <c r="BK1144">
        <v>1</v>
      </c>
      <c r="BL1144">
        <v>0</v>
      </c>
      <c r="BO1144">
        <v>0</v>
      </c>
      <c r="BP1144">
        <v>0</v>
      </c>
      <c r="BW1144" t="str">
        <f>"14:00:00.965"</f>
        <v>14:00:00.965</v>
      </c>
      <c r="CJ1144">
        <v>0</v>
      </c>
      <c r="CK1144">
        <v>2</v>
      </c>
      <c r="CL1144">
        <v>0</v>
      </c>
      <c r="CM1144">
        <v>2</v>
      </c>
      <c r="CN1144">
        <v>0</v>
      </c>
      <c r="CO1144">
        <v>7</v>
      </c>
      <c r="CP1144" t="s">
        <v>119</v>
      </c>
      <c r="CQ1144">
        <v>209</v>
      </c>
      <c r="CR1144">
        <v>3</v>
      </c>
      <c r="CW1144">
        <v>7290597</v>
      </c>
      <c r="CY1144">
        <v>1</v>
      </c>
      <c r="CZ1144">
        <v>0</v>
      </c>
      <c r="DA1144">
        <v>1</v>
      </c>
      <c r="DB1144">
        <v>0</v>
      </c>
      <c r="DC1144">
        <v>0</v>
      </c>
      <c r="DD1144">
        <v>1</v>
      </c>
      <c r="DE1144">
        <v>0</v>
      </c>
      <c r="DF1144">
        <v>0</v>
      </c>
      <c r="DG1144">
        <v>0</v>
      </c>
      <c r="DH1144">
        <v>0</v>
      </c>
      <c r="DI1144">
        <v>0</v>
      </c>
    </row>
    <row r="1145" spans="1:113" x14ac:dyDescent="0.3">
      <c r="A1145" t="str">
        <f>"09/28/2021 14:00:02.122"</f>
        <v>09/28/2021 14:00:02.122</v>
      </c>
      <c r="C1145" t="str">
        <f t="shared" si="56"/>
        <v>FFDFD3C0</v>
      </c>
      <c r="D1145" t="s">
        <v>120</v>
      </c>
      <c r="E1145">
        <v>12</v>
      </c>
      <c r="F1145">
        <v>1012</v>
      </c>
      <c r="G1145" t="s">
        <v>114</v>
      </c>
      <c r="J1145" t="s">
        <v>121</v>
      </c>
      <c r="K1145">
        <v>0</v>
      </c>
      <c r="L1145">
        <v>3</v>
      </c>
      <c r="M1145">
        <v>0</v>
      </c>
      <c r="N1145">
        <v>2</v>
      </c>
      <c r="O1145">
        <v>1</v>
      </c>
      <c r="P1145">
        <v>0</v>
      </c>
      <c r="Q1145">
        <v>0</v>
      </c>
      <c r="S1145" t="str">
        <f>"14:00:01.844"</f>
        <v>14:00:01.844</v>
      </c>
      <c r="T1145" t="str">
        <f>"14:00:01.444"</f>
        <v>14:00:01.444</v>
      </c>
      <c r="U1145" t="str">
        <f t="shared" si="55"/>
        <v>A92BC1</v>
      </c>
      <c r="V1145">
        <v>0</v>
      </c>
      <c r="W1145">
        <v>0</v>
      </c>
      <c r="X1145">
        <v>2</v>
      </c>
      <c r="Z1145">
        <v>0</v>
      </c>
      <c r="AA1145">
        <v>9</v>
      </c>
      <c r="AB1145">
        <v>3</v>
      </c>
      <c r="AC1145">
        <v>0</v>
      </c>
      <c r="AD1145">
        <v>10</v>
      </c>
      <c r="AE1145">
        <v>0</v>
      </c>
      <c r="AF1145">
        <v>3</v>
      </c>
      <c r="AG1145">
        <v>2</v>
      </c>
      <c r="AH1145">
        <v>0</v>
      </c>
      <c r="AI1145" t="s">
        <v>1246</v>
      </c>
      <c r="AJ1145">
        <v>45.914890999999997</v>
      </c>
      <c r="AK1145" t="s">
        <v>1247</v>
      </c>
      <c r="AL1145">
        <v>-89.054767999999996</v>
      </c>
      <c r="AM1145">
        <v>100</v>
      </c>
      <c r="AN1145">
        <v>15500</v>
      </c>
      <c r="AO1145" t="s">
        <v>118</v>
      </c>
      <c r="AP1145">
        <v>98</v>
      </c>
      <c r="AQ1145">
        <v>76</v>
      </c>
      <c r="AR1145">
        <v>-256</v>
      </c>
      <c r="AZ1145">
        <v>1200</v>
      </c>
      <c r="BA1145">
        <v>1</v>
      </c>
      <c r="BB1145" t="str">
        <f t="shared" si="57"/>
        <v xml:space="preserve">N690LS  </v>
      </c>
      <c r="BC1145">
        <v>1</v>
      </c>
      <c r="BE1145">
        <v>0</v>
      </c>
      <c r="BF1145">
        <v>0</v>
      </c>
      <c r="BG1145">
        <v>0</v>
      </c>
      <c r="BH1145">
        <v>16025</v>
      </c>
      <c r="BI1145">
        <v>1</v>
      </c>
      <c r="BJ1145">
        <v>1</v>
      </c>
      <c r="BK1145">
        <v>1</v>
      </c>
      <c r="BL1145">
        <v>0</v>
      </c>
      <c r="BO1145">
        <v>0</v>
      </c>
      <c r="BP1145">
        <v>0</v>
      </c>
      <c r="BW1145" t="str">
        <f>"14:00:01.846"</f>
        <v>14:00:01.846</v>
      </c>
      <c r="CJ1145">
        <v>0</v>
      </c>
      <c r="CK1145">
        <v>2</v>
      </c>
      <c r="CL1145">
        <v>0</v>
      </c>
      <c r="CM1145">
        <v>2</v>
      </c>
      <c r="CN1145">
        <v>0</v>
      </c>
      <c r="CO1145">
        <v>7</v>
      </c>
      <c r="CP1145" t="s">
        <v>119</v>
      </c>
      <c r="CQ1145">
        <v>197</v>
      </c>
      <c r="CR1145">
        <v>0</v>
      </c>
      <c r="CW1145">
        <v>16105994</v>
      </c>
      <c r="CY1145">
        <v>1</v>
      </c>
      <c r="CZ1145">
        <v>0</v>
      </c>
      <c r="DA1145">
        <v>0</v>
      </c>
      <c r="DB1145">
        <v>0</v>
      </c>
      <c r="DC1145">
        <v>0</v>
      </c>
      <c r="DD1145">
        <v>1</v>
      </c>
      <c r="DE1145">
        <v>0</v>
      </c>
      <c r="DF1145">
        <v>0</v>
      </c>
      <c r="DG1145">
        <v>0</v>
      </c>
      <c r="DH1145">
        <v>0</v>
      </c>
      <c r="DI1145">
        <v>0</v>
      </c>
    </row>
    <row r="1146" spans="1:113" x14ac:dyDescent="0.3">
      <c r="A1146" t="str">
        <f>"09/28/2021 14:00:02.122"</f>
        <v>09/28/2021 14:00:02.122</v>
      </c>
      <c r="C1146" t="str">
        <f t="shared" si="56"/>
        <v>FFDFD3C0</v>
      </c>
      <c r="D1146" t="s">
        <v>113</v>
      </c>
      <c r="E1146">
        <v>7</v>
      </c>
      <c r="H1146">
        <v>170</v>
      </c>
      <c r="I1146" t="s">
        <v>114</v>
      </c>
      <c r="J1146" t="s">
        <v>115</v>
      </c>
      <c r="K1146">
        <v>0</v>
      </c>
      <c r="L1146">
        <v>3</v>
      </c>
      <c r="M1146">
        <v>0</v>
      </c>
      <c r="N1146">
        <v>2</v>
      </c>
      <c r="O1146">
        <v>1</v>
      </c>
      <c r="P1146">
        <v>0</v>
      </c>
      <c r="Q1146">
        <v>0</v>
      </c>
      <c r="S1146" t="str">
        <f>"14:00:01.844"</f>
        <v>14:00:01.844</v>
      </c>
      <c r="T1146" t="str">
        <f>"14:00:01.444"</f>
        <v>14:00:01.444</v>
      </c>
      <c r="U1146" t="str">
        <f t="shared" si="55"/>
        <v>A92BC1</v>
      </c>
      <c r="V1146">
        <v>0</v>
      </c>
      <c r="W1146">
        <v>0</v>
      </c>
      <c r="X1146">
        <v>2</v>
      </c>
      <c r="Z1146">
        <v>0</v>
      </c>
      <c r="AA1146">
        <v>9</v>
      </c>
      <c r="AB1146">
        <v>3</v>
      </c>
      <c r="AC1146">
        <v>0</v>
      </c>
      <c r="AD1146">
        <v>10</v>
      </c>
      <c r="AE1146">
        <v>0</v>
      </c>
      <c r="AF1146">
        <v>3</v>
      </c>
      <c r="AG1146">
        <v>2</v>
      </c>
      <c r="AH1146">
        <v>0</v>
      </c>
      <c r="AI1146" t="s">
        <v>1246</v>
      </c>
      <c r="AJ1146">
        <v>45.914890999999997</v>
      </c>
      <c r="AK1146" t="s">
        <v>1247</v>
      </c>
      <c r="AL1146">
        <v>-89.054767999999996</v>
      </c>
      <c r="AM1146">
        <v>100</v>
      </c>
      <c r="AN1146">
        <v>15500</v>
      </c>
      <c r="AO1146" t="s">
        <v>118</v>
      </c>
      <c r="AP1146">
        <v>98</v>
      </c>
      <c r="AQ1146">
        <v>76</v>
      </c>
      <c r="AR1146">
        <v>-256</v>
      </c>
      <c r="AZ1146">
        <v>1200</v>
      </c>
      <c r="BA1146">
        <v>1</v>
      </c>
      <c r="BB1146" t="str">
        <f t="shared" si="57"/>
        <v xml:space="preserve">N690LS  </v>
      </c>
      <c r="BC1146">
        <v>1</v>
      </c>
      <c r="BE1146">
        <v>0</v>
      </c>
      <c r="BF1146">
        <v>0</v>
      </c>
      <c r="BG1146">
        <v>0</v>
      </c>
      <c r="BH1146">
        <v>16025</v>
      </c>
      <c r="BI1146">
        <v>1</v>
      </c>
      <c r="BJ1146">
        <v>1</v>
      </c>
      <c r="BK1146">
        <v>1</v>
      </c>
      <c r="BL1146">
        <v>0</v>
      </c>
      <c r="BO1146">
        <v>0</v>
      </c>
      <c r="BP1146">
        <v>0</v>
      </c>
      <c r="BW1146" t="str">
        <f>"14:00:01.846"</f>
        <v>14:00:01.846</v>
      </c>
      <c r="CJ1146">
        <v>0</v>
      </c>
      <c r="CK1146">
        <v>2</v>
      </c>
      <c r="CL1146">
        <v>0</v>
      </c>
      <c r="CM1146">
        <v>2</v>
      </c>
      <c r="CN1146">
        <v>0</v>
      </c>
      <c r="CO1146">
        <v>7</v>
      </c>
      <c r="CP1146" t="s">
        <v>119</v>
      </c>
      <c r="CQ1146">
        <v>197</v>
      </c>
      <c r="CR1146">
        <v>0</v>
      </c>
      <c r="CW1146">
        <v>16105994</v>
      </c>
      <c r="CY1146">
        <v>1</v>
      </c>
      <c r="CZ1146">
        <v>0</v>
      </c>
      <c r="DA1146">
        <v>1</v>
      </c>
      <c r="DB1146">
        <v>0</v>
      </c>
      <c r="DC1146">
        <v>0</v>
      </c>
      <c r="DD1146">
        <v>1</v>
      </c>
      <c r="DE1146">
        <v>0</v>
      </c>
      <c r="DF1146">
        <v>0</v>
      </c>
      <c r="DG1146">
        <v>0</v>
      </c>
      <c r="DH1146">
        <v>0</v>
      </c>
      <c r="DI1146">
        <v>0</v>
      </c>
    </row>
    <row r="1147" spans="1:113" x14ac:dyDescent="0.3">
      <c r="A1147" t="str">
        <f>"09/28/2021 14:00:03.138"</f>
        <v>09/28/2021 14:00:03.138</v>
      </c>
      <c r="C1147" t="str">
        <f t="shared" si="56"/>
        <v>FFDFD3C0</v>
      </c>
      <c r="D1147" t="s">
        <v>120</v>
      </c>
      <c r="E1147">
        <v>12</v>
      </c>
      <c r="F1147">
        <v>1012</v>
      </c>
      <c r="G1147" t="s">
        <v>114</v>
      </c>
      <c r="J1147" t="s">
        <v>121</v>
      </c>
      <c r="K1147">
        <v>0</v>
      </c>
      <c r="L1147">
        <v>3</v>
      </c>
      <c r="M1147">
        <v>0</v>
      </c>
      <c r="N1147">
        <v>2</v>
      </c>
      <c r="O1147">
        <v>1</v>
      </c>
      <c r="P1147">
        <v>0</v>
      </c>
      <c r="Q1147">
        <v>0</v>
      </c>
      <c r="S1147" t="str">
        <f>"14:00:02.875"</f>
        <v>14:00:02.875</v>
      </c>
      <c r="T1147" t="str">
        <f>"14:00:02.475"</f>
        <v>14:00:02.475</v>
      </c>
      <c r="U1147" t="str">
        <f t="shared" si="55"/>
        <v>A92BC1</v>
      </c>
      <c r="V1147">
        <v>0</v>
      </c>
      <c r="W1147">
        <v>0</v>
      </c>
      <c r="X1147">
        <v>2</v>
      </c>
      <c r="Z1147">
        <v>0</v>
      </c>
      <c r="AA1147">
        <v>9</v>
      </c>
      <c r="AB1147">
        <v>3</v>
      </c>
      <c r="AC1147">
        <v>0</v>
      </c>
      <c r="AD1147">
        <v>10</v>
      </c>
      <c r="AE1147">
        <v>0</v>
      </c>
      <c r="AF1147">
        <v>3</v>
      </c>
      <c r="AG1147">
        <v>2</v>
      </c>
      <c r="AH1147">
        <v>0</v>
      </c>
      <c r="AI1147" t="s">
        <v>1248</v>
      </c>
      <c r="AJ1147">
        <v>45.915213000000001</v>
      </c>
      <c r="AK1147" t="s">
        <v>1249</v>
      </c>
      <c r="AL1147">
        <v>-89.054146000000003</v>
      </c>
      <c r="AM1147">
        <v>100</v>
      </c>
      <c r="AN1147">
        <v>15500</v>
      </c>
      <c r="AO1147" t="s">
        <v>118</v>
      </c>
      <c r="AP1147">
        <v>97</v>
      </c>
      <c r="AQ1147">
        <v>75</v>
      </c>
      <c r="AR1147">
        <v>-256</v>
      </c>
      <c r="AZ1147">
        <v>1200</v>
      </c>
      <c r="BA1147">
        <v>1</v>
      </c>
      <c r="BB1147" t="str">
        <f t="shared" si="57"/>
        <v xml:space="preserve">N690LS  </v>
      </c>
      <c r="BC1147">
        <v>1</v>
      </c>
      <c r="BE1147">
        <v>0</v>
      </c>
      <c r="BF1147">
        <v>0</v>
      </c>
      <c r="BG1147">
        <v>0</v>
      </c>
      <c r="BH1147">
        <v>16025</v>
      </c>
      <c r="BI1147">
        <v>1</v>
      </c>
      <c r="BJ1147">
        <v>1</v>
      </c>
      <c r="BK1147">
        <v>1</v>
      </c>
      <c r="BL1147">
        <v>0</v>
      </c>
      <c r="BO1147">
        <v>0</v>
      </c>
      <c r="BP1147">
        <v>0</v>
      </c>
      <c r="BW1147" t="str">
        <f>"14:00:02.875"</f>
        <v>14:00:02.875</v>
      </c>
      <c r="CJ1147">
        <v>0</v>
      </c>
      <c r="CK1147">
        <v>2</v>
      </c>
      <c r="CL1147">
        <v>0</v>
      </c>
      <c r="CM1147">
        <v>2</v>
      </c>
      <c r="CN1147">
        <v>0</v>
      </c>
      <c r="CO1147">
        <v>7</v>
      </c>
      <c r="CP1147" t="s">
        <v>119</v>
      </c>
      <c r="CQ1147">
        <v>209</v>
      </c>
      <c r="CR1147">
        <v>3</v>
      </c>
      <c r="CW1147">
        <v>7291284</v>
      </c>
      <c r="CY1147">
        <v>1</v>
      </c>
      <c r="CZ1147">
        <v>0</v>
      </c>
      <c r="DA1147">
        <v>0</v>
      </c>
      <c r="DB1147">
        <v>0</v>
      </c>
      <c r="DC1147">
        <v>0</v>
      </c>
      <c r="DD1147">
        <v>1</v>
      </c>
      <c r="DE1147">
        <v>0</v>
      </c>
      <c r="DF1147">
        <v>0</v>
      </c>
      <c r="DG1147">
        <v>0</v>
      </c>
      <c r="DH1147">
        <v>0</v>
      </c>
      <c r="DI1147">
        <v>0</v>
      </c>
    </row>
    <row r="1148" spans="1:113" x14ac:dyDescent="0.3">
      <c r="A1148" t="str">
        <f>"09/28/2021 14:00:03.138"</f>
        <v>09/28/2021 14:00:03.138</v>
      </c>
      <c r="C1148" t="str">
        <f t="shared" si="56"/>
        <v>FFDFD3C0</v>
      </c>
      <c r="D1148" t="s">
        <v>113</v>
      </c>
      <c r="E1148">
        <v>7</v>
      </c>
      <c r="H1148">
        <v>170</v>
      </c>
      <c r="I1148" t="s">
        <v>114</v>
      </c>
      <c r="J1148" t="s">
        <v>115</v>
      </c>
      <c r="K1148">
        <v>0</v>
      </c>
      <c r="L1148">
        <v>3</v>
      </c>
      <c r="M1148">
        <v>0</v>
      </c>
      <c r="N1148">
        <v>2</v>
      </c>
      <c r="O1148">
        <v>1</v>
      </c>
      <c r="P1148">
        <v>0</v>
      </c>
      <c r="Q1148">
        <v>0</v>
      </c>
      <c r="S1148" t="str">
        <f>"14:00:02.875"</f>
        <v>14:00:02.875</v>
      </c>
      <c r="T1148" t="str">
        <f>"14:00:02.475"</f>
        <v>14:00:02.475</v>
      </c>
      <c r="U1148" t="str">
        <f t="shared" si="55"/>
        <v>A92BC1</v>
      </c>
      <c r="V1148">
        <v>0</v>
      </c>
      <c r="W1148">
        <v>0</v>
      </c>
      <c r="X1148">
        <v>2</v>
      </c>
      <c r="Z1148">
        <v>0</v>
      </c>
      <c r="AA1148">
        <v>9</v>
      </c>
      <c r="AB1148">
        <v>3</v>
      </c>
      <c r="AC1148">
        <v>0</v>
      </c>
      <c r="AD1148">
        <v>10</v>
      </c>
      <c r="AE1148">
        <v>0</v>
      </c>
      <c r="AF1148">
        <v>3</v>
      </c>
      <c r="AG1148">
        <v>2</v>
      </c>
      <c r="AH1148">
        <v>0</v>
      </c>
      <c r="AI1148" t="s">
        <v>1248</v>
      </c>
      <c r="AJ1148">
        <v>45.915213000000001</v>
      </c>
      <c r="AK1148" t="s">
        <v>1249</v>
      </c>
      <c r="AL1148">
        <v>-89.054146000000003</v>
      </c>
      <c r="AM1148">
        <v>100</v>
      </c>
      <c r="AN1148">
        <v>15500</v>
      </c>
      <c r="AO1148" t="s">
        <v>118</v>
      </c>
      <c r="AP1148">
        <v>97</v>
      </c>
      <c r="AQ1148">
        <v>75</v>
      </c>
      <c r="AR1148">
        <v>-256</v>
      </c>
      <c r="AZ1148">
        <v>1200</v>
      </c>
      <c r="BA1148">
        <v>1</v>
      </c>
      <c r="BB1148" t="str">
        <f t="shared" si="57"/>
        <v xml:space="preserve">N690LS  </v>
      </c>
      <c r="BC1148">
        <v>1</v>
      </c>
      <c r="BE1148">
        <v>0</v>
      </c>
      <c r="BF1148">
        <v>0</v>
      </c>
      <c r="BG1148">
        <v>0</v>
      </c>
      <c r="BH1148">
        <v>16025</v>
      </c>
      <c r="BI1148">
        <v>1</v>
      </c>
      <c r="BJ1148">
        <v>1</v>
      </c>
      <c r="BK1148">
        <v>1</v>
      </c>
      <c r="BL1148">
        <v>0</v>
      </c>
      <c r="BO1148">
        <v>0</v>
      </c>
      <c r="BP1148">
        <v>0</v>
      </c>
      <c r="BW1148" t="str">
        <f>"14:00:02.875"</f>
        <v>14:00:02.875</v>
      </c>
      <c r="CJ1148">
        <v>0</v>
      </c>
      <c r="CK1148">
        <v>2</v>
      </c>
      <c r="CL1148">
        <v>0</v>
      </c>
      <c r="CM1148">
        <v>2</v>
      </c>
      <c r="CN1148">
        <v>0</v>
      </c>
      <c r="CO1148">
        <v>7</v>
      </c>
      <c r="CP1148" t="s">
        <v>119</v>
      </c>
      <c r="CQ1148">
        <v>209</v>
      </c>
      <c r="CR1148">
        <v>3</v>
      </c>
      <c r="CW1148">
        <v>7291284</v>
      </c>
      <c r="CY1148">
        <v>1</v>
      </c>
      <c r="CZ1148">
        <v>0</v>
      </c>
      <c r="DA1148">
        <v>1</v>
      </c>
      <c r="DB1148">
        <v>0</v>
      </c>
      <c r="DC1148">
        <v>0</v>
      </c>
      <c r="DD1148">
        <v>1</v>
      </c>
      <c r="DE1148">
        <v>0</v>
      </c>
      <c r="DF1148">
        <v>0</v>
      </c>
      <c r="DG1148">
        <v>0</v>
      </c>
      <c r="DH1148">
        <v>0</v>
      </c>
      <c r="DI1148">
        <v>0</v>
      </c>
    </row>
    <row r="1149" spans="1:113" x14ac:dyDescent="0.3">
      <c r="A1149" t="str">
        <f>"09/28/2021 14:00:04.232"</f>
        <v>09/28/2021 14:00:04.232</v>
      </c>
      <c r="C1149" t="str">
        <f t="shared" si="56"/>
        <v>FFDFD3C0</v>
      </c>
      <c r="D1149" t="s">
        <v>120</v>
      </c>
      <c r="E1149">
        <v>12</v>
      </c>
      <c r="F1149">
        <v>1012</v>
      </c>
      <c r="G1149" t="s">
        <v>114</v>
      </c>
      <c r="J1149" t="s">
        <v>121</v>
      </c>
      <c r="K1149">
        <v>0</v>
      </c>
      <c r="L1149">
        <v>3</v>
      </c>
      <c r="M1149">
        <v>0</v>
      </c>
      <c r="N1149">
        <v>2</v>
      </c>
      <c r="O1149">
        <v>1</v>
      </c>
      <c r="P1149">
        <v>0</v>
      </c>
      <c r="Q1149">
        <v>0</v>
      </c>
      <c r="S1149" t="str">
        <f>"14:00:04.031"</f>
        <v>14:00:04.031</v>
      </c>
      <c r="T1149" t="str">
        <f>"14:00:03.531"</f>
        <v>14:00:03.531</v>
      </c>
      <c r="U1149" t="str">
        <f t="shared" si="55"/>
        <v>A92BC1</v>
      </c>
      <c r="V1149">
        <v>0</v>
      </c>
      <c r="W1149">
        <v>0</v>
      </c>
      <c r="X1149">
        <v>2</v>
      </c>
      <c r="Z1149">
        <v>0</v>
      </c>
      <c r="AA1149">
        <v>9</v>
      </c>
      <c r="AB1149">
        <v>3</v>
      </c>
      <c r="AC1149">
        <v>0</v>
      </c>
      <c r="AD1149">
        <v>10</v>
      </c>
      <c r="AE1149">
        <v>0</v>
      </c>
      <c r="AF1149">
        <v>3</v>
      </c>
      <c r="AG1149">
        <v>2</v>
      </c>
      <c r="AH1149">
        <v>0</v>
      </c>
      <c r="AI1149" t="s">
        <v>1250</v>
      </c>
      <c r="AJ1149">
        <v>45.915641999999998</v>
      </c>
      <c r="AK1149" t="s">
        <v>1251</v>
      </c>
      <c r="AL1149">
        <v>-89.053394999999995</v>
      </c>
      <c r="AM1149">
        <v>100</v>
      </c>
      <c r="AN1149">
        <v>15500</v>
      </c>
      <c r="AO1149" t="s">
        <v>118</v>
      </c>
      <c r="AP1149">
        <v>96</v>
      </c>
      <c r="AQ1149">
        <v>74</v>
      </c>
      <c r="AR1149">
        <v>-256</v>
      </c>
      <c r="AZ1149">
        <v>1200</v>
      </c>
      <c r="BA1149">
        <v>1</v>
      </c>
      <c r="BB1149" t="str">
        <f t="shared" si="57"/>
        <v xml:space="preserve">N690LS  </v>
      </c>
      <c r="BC1149">
        <v>1</v>
      </c>
      <c r="BE1149">
        <v>0</v>
      </c>
      <c r="BF1149">
        <v>0</v>
      </c>
      <c r="BG1149">
        <v>0</v>
      </c>
      <c r="BH1149">
        <v>16025</v>
      </c>
      <c r="BI1149">
        <v>1</v>
      </c>
      <c r="BJ1149">
        <v>1</v>
      </c>
      <c r="BK1149">
        <v>1</v>
      </c>
      <c r="BL1149">
        <v>0</v>
      </c>
      <c r="BO1149">
        <v>0</v>
      </c>
      <c r="BP1149">
        <v>0</v>
      </c>
      <c r="BW1149" t="str">
        <f>"14:00:04.032"</f>
        <v>14:00:04.032</v>
      </c>
      <c r="CJ1149">
        <v>0</v>
      </c>
      <c r="CK1149">
        <v>2</v>
      </c>
      <c r="CL1149">
        <v>0</v>
      </c>
      <c r="CM1149">
        <v>2</v>
      </c>
      <c r="CN1149">
        <v>0</v>
      </c>
      <c r="CO1149">
        <v>7</v>
      </c>
      <c r="CP1149" t="s">
        <v>119</v>
      </c>
      <c r="CQ1149">
        <v>209</v>
      </c>
      <c r="CR1149">
        <v>3</v>
      </c>
      <c r="CW1149">
        <v>7291764</v>
      </c>
      <c r="CY1149">
        <v>1</v>
      </c>
      <c r="CZ1149">
        <v>0</v>
      </c>
      <c r="DA1149">
        <v>0</v>
      </c>
      <c r="DB1149">
        <v>0</v>
      </c>
      <c r="DC1149">
        <v>0</v>
      </c>
      <c r="DD1149">
        <v>1</v>
      </c>
      <c r="DE1149">
        <v>0</v>
      </c>
      <c r="DF1149">
        <v>0</v>
      </c>
      <c r="DG1149">
        <v>0</v>
      </c>
      <c r="DH1149">
        <v>0</v>
      </c>
      <c r="DI1149">
        <v>0</v>
      </c>
    </row>
    <row r="1150" spans="1:113" x14ac:dyDescent="0.3">
      <c r="A1150" t="str">
        <f>"09/28/2021 14:00:04.263"</f>
        <v>09/28/2021 14:00:04.263</v>
      </c>
      <c r="C1150" t="str">
        <f t="shared" si="56"/>
        <v>FFDFD3C0</v>
      </c>
      <c r="D1150" t="s">
        <v>113</v>
      </c>
      <c r="E1150">
        <v>7</v>
      </c>
      <c r="H1150">
        <v>170</v>
      </c>
      <c r="I1150" t="s">
        <v>114</v>
      </c>
      <c r="J1150" t="s">
        <v>115</v>
      </c>
      <c r="K1150">
        <v>0</v>
      </c>
      <c r="L1150">
        <v>3</v>
      </c>
      <c r="M1150">
        <v>0</v>
      </c>
      <c r="N1150">
        <v>2</v>
      </c>
      <c r="O1150">
        <v>1</v>
      </c>
      <c r="P1150">
        <v>0</v>
      </c>
      <c r="Q1150">
        <v>0</v>
      </c>
      <c r="S1150" t="str">
        <f>"14:00:04.031"</f>
        <v>14:00:04.031</v>
      </c>
      <c r="T1150" t="str">
        <f>"14:00:03.531"</f>
        <v>14:00:03.531</v>
      </c>
      <c r="U1150" t="str">
        <f t="shared" si="55"/>
        <v>A92BC1</v>
      </c>
      <c r="V1150">
        <v>0</v>
      </c>
      <c r="W1150">
        <v>0</v>
      </c>
      <c r="X1150">
        <v>2</v>
      </c>
      <c r="Z1150">
        <v>0</v>
      </c>
      <c r="AA1150">
        <v>9</v>
      </c>
      <c r="AB1150">
        <v>3</v>
      </c>
      <c r="AC1150">
        <v>0</v>
      </c>
      <c r="AD1150">
        <v>10</v>
      </c>
      <c r="AE1150">
        <v>0</v>
      </c>
      <c r="AF1150">
        <v>3</v>
      </c>
      <c r="AG1150">
        <v>2</v>
      </c>
      <c r="AH1150">
        <v>0</v>
      </c>
      <c r="AI1150" t="s">
        <v>1250</v>
      </c>
      <c r="AJ1150">
        <v>45.915641999999998</v>
      </c>
      <c r="AK1150" t="s">
        <v>1251</v>
      </c>
      <c r="AL1150">
        <v>-89.053394999999995</v>
      </c>
      <c r="AM1150">
        <v>100</v>
      </c>
      <c r="AN1150">
        <v>15500</v>
      </c>
      <c r="AO1150" t="s">
        <v>118</v>
      </c>
      <c r="AP1150">
        <v>96</v>
      </c>
      <c r="AQ1150">
        <v>74</v>
      </c>
      <c r="AR1150">
        <v>-256</v>
      </c>
      <c r="AZ1150">
        <v>1200</v>
      </c>
      <c r="BA1150">
        <v>1</v>
      </c>
      <c r="BB1150" t="str">
        <f t="shared" si="57"/>
        <v xml:space="preserve">N690LS  </v>
      </c>
      <c r="BC1150">
        <v>1</v>
      </c>
      <c r="BE1150">
        <v>0</v>
      </c>
      <c r="BF1150">
        <v>0</v>
      </c>
      <c r="BG1150">
        <v>0</v>
      </c>
      <c r="BH1150">
        <v>16025</v>
      </c>
      <c r="BI1150">
        <v>1</v>
      </c>
      <c r="BJ1150">
        <v>1</v>
      </c>
      <c r="BK1150">
        <v>1</v>
      </c>
      <c r="BL1150">
        <v>0</v>
      </c>
      <c r="BO1150">
        <v>0</v>
      </c>
      <c r="BP1150">
        <v>0</v>
      </c>
      <c r="BW1150" t="str">
        <f>"14:00:04.032"</f>
        <v>14:00:04.032</v>
      </c>
      <c r="CJ1150">
        <v>0</v>
      </c>
      <c r="CK1150">
        <v>2</v>
      </c>
      <c r="CL1150">
        <v>0</v>
      </c>
      <c r="CM1150">
        <v>2</v>
      </c>
      <c r="CN1150">
        <v>0</v>
      </c>
      <c r="CO1150">
        <v>7</v>
      </c>
      <c r="CP1150" t="s">
        <v>119</v>
      </c>
      <c r="CQ1150">
        <v>209</v>
      </c>
      <c r="CR1150">
        <v>3</v>
      </c>
      <c r="CW1150">
        <v>7291764</v>
      </c>
      <c r="CY1150">
        <v>1</v>
      </c>
      <c r="CZ1150">
        <v>0</v>
      </c>
      <c r="DA1150">
        <v>1</v>
      </c>
      <c r="DB1150">
        <v>0</v>
      </c>
      <c r="DC1150">
        <v>0</v>
      </c>
      <c r="DD1150">
        <v>1</v>
      </c>
      <c r="DE1150">
        <v>0</v>
      </c>
      <c r="DF1150">
        <v>0</v>
      </c>
      <c r="DG1150">
        <v>0</v>
      </c>
      <c r="DH1150">
        <v>0</v>
      </c>
      <c r="DI1150">
        <v>0</v>
      </c>
    </row>
    <row r="1151" spans="1:113" x14ac:dyDescent="0.3">
      <c r="A1151" t="str">
        <f>"09/28/2021 14:00:05.249"</f>
        <v>09/28/2021 14:00:05.249</v>
      </c>
      <c r="C1151" t="str">
        <f t="shared" si="56"/>
        <v>FFDFD3C0</v>
      </c>
      <c r="D1151" t="s">
        <v>120</v>
      </c>
      <c r="E1151">
        <v>12</v>
      </c>
      <c r="F1151">
        <v>1012</v>
      </c>
      <c r="G1151" t="s">
        <v>114</v>
      </c>
      <c r="J1151" t="s">
        <v>121</v>
      </c>
      <c r="K1151">
        <v>0</v>
      </c>
      <c r="L1151">
        <v>3</v>
      </c>
      <c r="M1151">
        <v>0</v>
      </c>
      <c r="N1151">
        <v>2</v>
      </c>
      <c r="O1151">
        <v>1</v>
      </c>
      <c r="P1151">
        <v>0</v>
      </c>
      <c r="Q1151">
        <v>0</v>
      </c>
      <c r="S1151" t="str">
        <f>"14:00:05.031"</f>
        <v>14:00:05.031</v>
      </c>
      <c r="T1151" t="str">
        <f>"14:00:04.531"</f>
        <v>14:00:04.531</v>
      </c>
      <c r="U1151" t="str">
        <f t="shared" si="55"/>
        <v>A92BC1</v>
      </c>
      <c r="V1151">
        <v>0</v>
      </c>
      <c r="W1151">
        <v>0</v>
      </c>
      <c r="X1151">
        <v>2</v>
      </c>
      <c r="Z1151">
        <v>0</v>
      </c>
      <c r="AA1151">
        <v>9</v>
      </c>
      <c r="AB1151">
        <v>3</v>
      </c>
      <c r="AC1151">
        <v>0</v>
      </c>
      <c r="AD1151">
        <v>10</v>
      </c>
      <c r="AE1151">
        <v>0</v>
      </c>
      <c r="AF1151">
        <v>3</v>
      </c>
      <c r="AG1151">
        <v>2</v>
      </c>
      <c r="AH1151">
        <v>0</v>
      </c>
      <c r="AI1151" t="s">
        <v>1252</v>
      </c>
      <c r="AJ1151">
        <v>45.915964000000002</v>
      </c>
      <c r="AK1151" t="s">
        <v>1253</v>
      </c>
      <c r="AL1151">
        <v>-89.052773000000002</v>
      </c>
      <c r="AM1151">
        <v>100</v>
      </c>
      <c r="AN1151">
        <v>15500</v>
      </c>
      <c r="AO1151" t="s">
        <v>118</v>
      </c>
      <c r="AP1151">
        <v>95</v>
      </c>
      <c r="AQ1151">
        <v>73</v>
      </c>
      <c r="AR1151">
        <v>-256</v>
      </c>
      <c r="AZ1151">
        <v>1200</v>
      </c>
      <c r="BA1151">
        <v>1</v>
      </c>
      <c r="BB1151" t="str">
        <f t="shared" si="57"/>
        <v xml:space="preserve">N690LS  </v>
      </c>
      <c r="BC1151">
        <v>1</v>
      </c>
      <c r="BE1151">
        <v>0</v>
      </c>
      <c r="BF1151">
        <v>0</v>
      </c>
      <c r="BG1151">
        <v>0</v>
      </c>
      <c r="BH1151">
        <v>16025</v>
      </c>
      <c r="BI1151">
        <v>1</v>
      </c>
      <c r="BJ1151">
        <v>1</v>
      </c>
      <c r="BK1151">
        <v>1</v>
      </c>
      <c r="BL1151">
        <v>0</v>
      </c>
      <c r="BO1151">
        <v>0</v>
      </c>
      <c r="BP1151">
        <v>0</v>
      </c>
      <c r="BW1151" t="str">
        <f>"14:00:05.032"</f>
        <v>14:00:05.032</v>
      </c>
      <c r="CJ1151">
        <v>0</v>
      </c>
      <c r="CK1151">
        <v>2</v>
      </c>
      <c r="CL1151">
        <v>0</v>
      </c>
      <c r="CM1151">
        <v>2</v>
      </c>
      <c r="CN1151">
        <v>0</v>
      </c>
      <c r="CO1151">
        <v>7</v>
      </c>
      <c r="CP1151" t="s">
        <v>119</v>
      </c>
      <c r="CQ1151">
        <v>209</v>
      </c>
      <c r="CR1151">
        <v>3</v>
      </c>
      <c r="CW1151">
        <v>7292157</v>
      </c>
      <c r="CY1151">
        <v>1</v>
      </c>
      <c r="CZ1151">
        <v>0</v>
      </c>
      <c r="DA1151">
        <v>0</v>
      </c>
      <c r="DB1151">
        <v>0</v>
      </c>
      <c r="DC1151">
        <v>0</v>
      </c>
      <c r="DD1151">
        <v>1</v>
      </c>
      <c r="DE1151">
        <v>0</v>
      </c>
      <c r="DF1151">
        <v>0</v>
      </c>
      <c r="DG1151">
        <v>0</v>
      </c>
      <c r="DH1151">
        <v>0</v>
      </c>
      <c r="DI1151">
        <v>0</v>
      </c>
    </row>
    <row r="1152" spans="1:113" x14ac:dyDescent="0.3">
      <c r="A1152" t="str">
        <f>"09/28/2021 14:00:05.249"</f>
        <v>09/28/2021 14:00:05.249</v>
      </c>
      <c r="C1152" t="str">
        <f t="shared" si="56"/>
        <v>FFDFD3C0</v>
      </c>
      <c r="D1152" t="s">
        <v>113</v>
      </c>
      <c r="E1152">
        <v>7</v>
      </c>
      <c r="H1152">
        <v>170</v>
      </c>
      <c r="I1152" t="s">
        <v>114</v>
      </c>
      <c r="J1152" t="s">
        <v>115</v>
      </c>
      <c r="K1152">
        <v>0</v>
      </c>
      <c r="L1152">
        <v>3</v>
      </c>
      <c r="M1152">
        <v>0</v>
      </c>
      <c r="N1152">
        <v>2</v>
      </c>
      <c r="O1152">
        <v>1</v>
      </c>
      <c r="P1152">
        <v>0</v>
      </c>
      <c r="Q1152">
        <v>0</v>
      </c>
      <c r="S1152" t="str">
        <f>"14:00:05.031"</f>
        <v>14:00:05.031</v>
      </c>
      <c r="T1152" t="str">
        <f>"14:00:04.531"</f>
        <v>14:00:04.531</v>
      </c>
      <c r="U1152" t="str">
        <f t="shared" si="55"/>
        <v>A92BC1</v>
      </c>
      <c r="V1152">
        <v>0</v>
      </c>
      <c r="W1152">
        <v>0</v>
      </c>
      <c r="X1152">
        <v>2</v>
      </c>
      <c r="Z1152">
        <v>0</v>
      </c>
      <c r="AA1152">
        <v>9</v>
      </c>
      <c r="AB1152">
        <v>3</v>
      </c>
      <c r="AC1152">
        <v>0</v>
      </c>
      <c r="AD1152">
        <v>10</v>
      </c>
      <c r="AE1152">
        <v>0</v>
      </c>
      <c r="AF1152">
        <v>3</v>
      </c>
      <c r="AG1152">
        <v>2</v>
      </c>
      <c r="AH1152">
        <v>0</v>
      </c>
      <c r="AI1152" t="s">
        <v>1252</v>
      </c>
      <c r="AJ1152">
        <v>45.915964000000002</v>
      </c>
      <c r="AK1152" t="s">
        <v>1253</v>
      </c>
      <c r="AL1152">
        <v>-89.052773000000002</v>
      </c>
      <c r="AM1152">
        <v>100</v>
      </c>
      <c r="AN1152">
        <v>15500</v>
      </c>
      <c r="AO1152" t="s">
        <v>118</v>
      </c>
      <c r="AP1152">
        <v>95</v>
      </c>
      <c r="AQ1152">
        <v>73</v>
      </c>
      <c r="AR1152">
        <v>-256</v>
      </c>
      <c r="AZ1152">
        <v>1200</v>
      </c>
      <c r="BA1152">
        <v>1</v>
      </c>
      <c r="BB1152" t="str">
        <f t="shared" si="57"/>
        <v xml:space="preserve">N690LS  </v>
      </c>
      <c r="BC1152">
        <v>1</v>
      </c>
      <c r="BE1152">
        <v>0</v>
      </c>
      <c r="BF1152">
        <v>0</v>
      </c>
      <c r="BG1152">
        <v>0</v>
      </c>
      <c r="BH1152">
        <v>16025</v>
      </c>
      <c r="BI1152">
        <v>1</v>
      </c>
      <c r="BJ1152">
        <v>1</v>
      </c>
      <c r="BK1152">
        <v>1</v>
      </c>
      <c r="BL1152">
        <v>0</v>
      </c>
      <c r="BO1152">
        <v>0</v>
      </c>
      <c r="BP1152">
        <v>0</v>
      </c>
      <c r="BW1152" t="str">
        <f>"14:00:05.032"</f>
        <v>14:00:05.032</v>
      </c>
      <c r="CJ1152">
        <v>0</v>
      </c>
      <c r="CK1152">
        <v>2</v>
      </c>
      <c r="CL1152">
        <v>0</v>
      </c>
      <c r="CM1152">
        <v>2</v>
      </c>
      <c r="CN1152">
        <v>0</v>
      </c>
      <c r="CO1152">
        <v>7</v>
      </c>
      <c r="CP1152" t="s">
        <v>119</v>
      </c>
      <c r="CQ1152">
        <v>209</v>
      </c>
      <c r="CR1152">
        <v>3</v>
      </c>
      <c r="CW1152">
        <v>7292157</v>
      </c>
      <c r="CY1152">
        <v>1</v>
      </c>
      <c r="CZ1152">
        <v>0</v>
      </c>
      <c r="DA1152">
        <v>1</v>
      </c>
      <c r="DB1152">
        <v>0</v>
      </c>
      <c r="DC1152">
        <v>0</v>
      </c>
      <c r="DD1152">
        <v>1</v>
      </c>
      <c r="DE1152">
        <v>0</v>
      </c>
      <c r="DF1152">
        <v>0</v>
      </c>
      <c r="DG1152">
        <v>0</v>
      </c>
      <c r="DH1152">
        <v>0</v>
      </c>
      <c r="DI1152">
        <v>0</v>
      </c>
    </row>
    <row r="1153" spans="1:113" x14ac:dyDescent="0.3">
      <c r="A1153" t="str">
        <f>"09/28/2021 14:00:06.249"</f>
        <v>09/28/2021 14:00:06.249</v>
      </c>
      <c r="C1153" t="str">
        <f t="shared" si="56"/>
        <v>FFDFD3C0</v>
      </c>
      <c r="D1153" t="s">
        <v>120</v>
      </c>
      <c r="E1153">
        <v>12</v>
      </c>
      <c r="F1153">
        <v>1012</v>
      </c>
      <c r="G1153" t="s">
        <v>114</v>
      </c>
      <c r="J1153" t="s">
        <v>121</v>
      </c>
      <c r="K1153">
        <v>0</v>
      </c>
      <c r="L1153">
        <v>3</v>
      </c>
      <c r="M1153">
        <v>0</v>
      </c>
      <c r="N1153">
        <v>2</v>
      </c>
      <c r="O1153">
        <v>1</v>
      </c>
      <c r="P1153">
        <v>0</v>
      </c>
      <c r="Q1153">
        <v>0</v>
      </c>
      <c r="S1153" t="str">
        <f>"14:00:06.047"</f>
        <v>14:00:06.047</v>
      </c>
      <c r="T1153" t="str">
        <f>"14:00:05.647"</f>
        <v>14:00:05.647</v>
      </c>
      <c r="U1153" t="str">
        <f t="shared" si="55"/>
        <v>A92BC1</v>
      </c>
      <c r="V1153">
        <v>0</v>
      </c>
      <c r="W1153">
        <v>0</v>
      </c>
      <c r="X1153">
        <v>2</v>
      </c>
      <c r="Z1153">
        <v>0</v>
      </c>
      <c r="AA1153">
        <v>9</v>
      </c>
      <c r="AB1153">
        <v>3</v>
      </c>
      <c r="AC1153">
        <v>0</v>
      </c>
      <c r="AD1153">
        <v>10</v>
      </c>
      <c r="AE1153">
        <v>0</v>
      </c>
      <c r="AF1153">
        <v>3</v>
      </c>
      <c r="AG1153">
        <v>2</v>
      </c>
      <c r="AH1153">
        <v>0</v>
      </c>
      <c r="AI1153" t="s">
        <v>1254</v>
      </c>
      <c r="AJ1153">
        <v>45.916285999999999</v>
      </c>
      <c r="AK1153" t="s">
        <v>1255</v>
      </c>
      <c r="AL1153">
        <v>-89.052149999999997</v>
      </c>
      <c r="AM1153">
        <v>100</v>
      </c>
      <c r="AN1153">
        <v>15500</v>
      </c>
      <c r="AO1153" t="s">
        <v>118</v>
      </c>
      <c r="AP1153">
        <v>94</v>
      </c>
      <c r="AQ1153">
        <v>72</v>
      </c>
      <c r="AR1153">
        <v>-320</v>
      </c>
      <c r="AZ1153">
        <v>1200</v>
      </c>
      <c r="BA1153">
        <v>1</v>
      </c>
      <c r="BB1153" t="str">
        <f t="shared" si="57"/>
        <v xml:space="preserve">N690LS  </v>
      </c>
      <c r="BC1153">
        <v>1</v>
      </c>
      <c r="BE1153">
        <v>0</v>
      </c>
      <c r="BF1153">
        <v>0</v>
      </c>
      <c r="BG1153">
        <v>0</v>
      </c>
      <c r="BH1153">
        <v>16000</v>
      </c>
      <c r="BI1153">
        <v>1</v>
      </c>
      <c r="BJ1153">
        <v>1</v>
      </c>
      <c r="BK1153">
        <v>1</v>
      </c>
      <c r="BL1153">
        <v>0</v>
      </c>
      <c r="BO1153">
        <v>0</v>
      </c>
      <c r="BP1153">
        <v>0</v>
      </c>
      <c r="BW1153" t="str">
        <f>"14:00:06.049"</f>
        <v>14:00:06.049</v>
      </c>
      <c r="CJ1153">
        <v>0</v>
      </c>
      <c r="CK1153">
        <v>2</v>
      </c>
      <c r="CL1153">
        <v>0</v>
      </c>
      <c r="CM1153">
        <v>2</v>
      </c>
      <c r="CN1153">
        <v>0</v>
      </c>
      <c r="CO1153">
        <v>7</v>
      </c>
      <c r="CP1153" t="s">
        <v>119</v>
      </c>
      <c r="CQ1153">
        <v>209</v>
      </c>
      <c r="CR1153">
        <v>3</v>
      </c>
      <c r="CW1153">
        <v>7292529</v>
      </c>
      <c r="CY1153">
        <v>1</v>
      </c>
      <c r="CZ1153">
        <v>0</v>
      </c>
      <c r="DA1153">
        <v>0</v>
      </c>
      <c r="DB1153">
        <v>0</v>
      </c>
      <c r="DC1153">
        <v>0</v>
      </c>
      <c r="DD1153">
        <v>1</v>
      </c>
      <c r="DE1153">
        <v>0</v>
      </c>
      <c r="DF1153">
        <v>0</v>
      </c>
      <c r="DG1153">
        <v>0</v>
      </c>
      <c r="DH1153">
        <v>0</v>
      </c>
      <c r="DI1153">
        <v>0</v>
      </c>
    </row>
    <row r="1154" spans="1:113" x14ac:dyDescent="0.3">
      <c r="A1154" t="str">
        <f>"09/28/2021 14:00:06.249"</f>
        <v>09/28/2021 14:00:06.249</v>
      </c>
      <c r="C1154" t="str">
        <f t="shared" si="56"/>
        <v>FFDFD3C0</v>
      </c>
      <c r="D1154" t="s">
        <v>113</v>
      </c>
      <c r="E1154">
        <v>7</v>
      </c>
      <c r="H1154">
        <v>170</v>
      </c>
      <c r="I1154" t="s">
        <v>114</v>
      </c>
      <c r="J1154" t="s">
        <v>115</v>
      </c>
      <c r="K1154">
        <v>0</v>
      </c>
      <c r="L1154">
        <v>3</v>
      </c>
      <c r="M1154">
        <v>0</v>
      </c>
      <c r="N1154">
        <v>2</v>
      </c>
      <c r="O1154">
        <v>1</v>
      </c>
      <c r="P1154">
        <v>0</v>
      </c>
      <c r="Q1154">
        <v>0</v>
      </c>
      <c r="S1154" t="str">
        <f>"14:00:06.047"</f>
        <v>14:00:06.047</v>
      </c>
      <c r="T1154" t="str">
        <f>"14:00:05.647"</f>
        <v>14:00:05.647</v>
      </c>
      <c r="U1154" t="str">
        <f t="shared" ref="U1154:U1217" si="58">"A92BC1"</f>
        <v>A92BC1</v>
      </c>
      <c r="V1154">
        <v>0</v>
      </c>
      <c r="W1154">
        <v>0</v>
      </c>
      <c r="X1154">
        <v>2</v>
      </c>
      <c r="Z1154">
        <v>0</v>
      </c>
      <c r="AA1154">
        <v>9</v>
      </c>
      <c r="AB1154">
        <v>3</v>
      </c>
      <c r="AC1154">
        <v>0</v>
      </c>
      <c r="AD1154">
        <v>10</v>
      </c>
      <c r="AE1154">
        <v>0</v>
      </c>
      <c r="AF1154">
        <v>3</v>
      </c>
      <c r="AG1154">
        <v>2</v>
      </c>
      <c r="AH1154">
        <v>0</v>
      </c>
      <c r="AI1154" t="s">
        <v>1254</v>
      </c>
      <c r="AJ1154">
        <v>45.916285999999999</v>
      </c>
      <c r="AK1154" t="s">
        <v>1255</v>
      </c>
      <c r="AL1154">
        <v>-89.052149999999997</v>
      </c>
      <c r="AM1154">
        <v>100</v>
      </c>
      <c r="AN1154">
        <v>15500</v>
      </c>
      <c r="AO1154" t="s">
        <v>118</v>
      </c>
      <c r="AP1154">
        <v>94</v>
      </c>
      <c r="AQ1154">
        <v>72</v>
      </c>
      <c r="AR1154">
        <v>-320</v>
      </c>
      <c r="AZ1154">
        <v>1200</v>
      </c>
      <c r="BA1154">
        <v>1</v>
      </c>
      <c r="BB1154" t="str">
        <f t="shared" si="57"/>
        <v xml:space="preserve">N690LS  </v>
      </c>
      <c r="BC1154">
        <v>1</v>
      </c>
      <c r="BE1154">
        <v>0</v>
      </c>
      <c r="BF1154">
        <v>0</v>
      </c>
      <c r="BG1154">
        <v>0</v>
      </c>
      <c r="BH1154">
        <v>16000</v>
      </c>
      <c r="BI1154">
        <v>1</v>
      </c>
      <c r="BJ1154">
        <v>1</v>
      </c>
      <c r="BK1154">
        <v>1</v>
      </c>
      <c r="BL1154">
        <v>0</v>
      </c>
      <c r="BO1154">
        <v>0</v>
      </c>
      <c r="BP1154">
        <v>0</v>
      </c>
      <c r="BW1154" t="str">
        <f>"14:00:06.049"</f>
        <v>14:00:06.049</v>
      </c>
      <c r="CJ1154">
        <v>0</v>
      </c>
      <c r="CK1154">
        <v>2</v>
      </c>
      <c r="CL1154">
        <v>0</v>
      </c>
      <c r="CM1154">
        <v>2</v>
      </c>
      <c r="CN1154">
        <v>0</v>
      </c>
      <c r="CO1154">
        <v>7</v>
      </c>
      <c r="CP1154" t="s">
        <v>119</v>
      </c>
      <c r="CQ1154">
        <v>209</v>
      </c>
      <c r="CR1154">
        <v>3</v>
      </c>
      <c r="CW1154">
        <v>7292529</v>
      </c>
      <c r="CY1154">
        <v>1</v>
      </c>
      <c r="CZ1154">
        <v>0</v>
      </c>
      <c r="DA1154">
        <v>1</v>
      </c>
      <c r="DB1154">
        <v>0</v>
      </c>
      <c r="DC1154">
        <v>0</v>
      </c>
      <c r="DD1154">
        <v>1</v>
      </c>
      <c r="DE1154">
        <v>0</v>
      </c>
      <c r="DF1154">
        <v>0</v>
      </c>
      <c r="DG1154">
        <v>0</v>
      </c>
      <c r="DH1154">
        <v>0</v>
      </c>
      <c r="DI1154">
        <v>0</v>
      </c>
    </row>
    <row r="1155" spans="1:113" x14ac:dyDescent="0.3">
      <c r="A1155" t="str">
        <f>"09/28/2021 14:00:07.309"</f>
        <v>09/28/2021 14:00:07.309</v>
      </c>
      <c r="C1155" t="str">
        <f t="shared" si="56"/>
        <v>FFDFD3C0</v>
      </c>
      <c r="D1155" t="s">
        <v>120</v>
      </c>
      <c r="E1155">
        <v>12</v>
      </c>
      <c r="F1155">
        <v>1012</v>
      </c>
      <c r="G1155" t="s">
        <v>114</v>
      </c>
      <c r="J1155" t="s">
        <v>121</v>
      </c>
      <c r="K1155">
        <v>0</v>
      </c>
      <c r="L1155">
        <v>3</v>
      </c>
      <c r="M1155">
        <v>0</v>
      </c>
      <c r="N1155">
        <v>2</v>
      </c>
      <c r="O1155">
        <v>1</v>
      </c>
      <c r="P1155">
        <v>0</v>
      </c>
      <c r="Q1155">
        <v>0</v>
      </c>
      <c r="S1155" t="str">
        <f>"14:00:07.055"</f>
        <v>14:00:07.055</v>
      </c>
      <c r="T1155" t="str">
        <f>"14:00:06.555"</f>
        <v>14:00:06.555</v>
      </c>
      <c r="U1155" t="str">
        <f t="shared" si="58"/>
        <v>A92BC1</v>
      </c>
      <c r="V1155">
        <v>0</v>
      </c>
      <c r="W1155">
        <v>0</v>
      </c>
      <c r="X1155">
        <v>2</v>
      </c>
      <c r="Z1155">
        <v>0</v>
      </c>
      <c r="AA1155">
        <v>9</v>
      </c>
      <c r="AB1155">
        <v>3</v>
      </c>
      <c r="AC1155">
        <v>0</v>
      </c>
      <c r="AD1155">
        <v>10</v>
      </c>
      <c r="AE1155">
        <v>0</v>
      </c>
      <c r="AF1155">
        <v>3</v>
      </c>
      <c r="AG1155">
        <v>2</v>
      </c>
      <c r="AH1155">
        <v>0</v>
      </c>
      <c r="AI1155" t="s">
        <v>1256</v>
      </c>
      <c r="AJ1155">
        <v>45.916606999999999</v>
      </c>
      <c r="AK1155" t="s">
        <v>1257</v>
      </c>
      <c r="AL1155">
        <v>-89.051528000000005</v>
      </c>
      <c r="AM1155">
        <v>100</v>
      </c>
      <c r="AN1155">
        <v>15500</v>
      </c>
      <c r="AO1155" t="s">
        <v>118</v>
      </c>
      <c r="AP1155">
        <v>94</v>
      </c>
      <c r="AQ1155">
        <v>71</v>
      </c>
      <c r="AR1155">
        <v>-384</v>
      </c>
      <c r="AZ1155">
        <v>1200</v>
      </c>
      <c r="BA1155">
        <v>1</v>
      </c>
      <c r="BB1155" t="str">
        <f t="shared" si="57"/>
        <v xml:space="preserve">N690LS  </v>
      </c>
      <c r="BC1155">
        <v>1</v>
      </c>
      <c r="BE1155">
        <v>0</v>
      </c>
      <c r="BF1155">
        <v>0</v>
      </c>
      <c r="BG1155">
        <v>0</v>
      </c>
      <c r="BH1155">
        <v>16000</v>
      </c>
      <c r="BI1155">
        <v>1</v>
      </c>
      <c r="BJ1155">
        <v>1</v>
      </c>
      <c r="BK1155">
        <v>1</v>
      </c>
      <c r="BL1155">
        <v>0</v>
      </c>
      <c r="BO1155">
        <v>0</v>
      </c>
      <c r="BP1155">
        <v>0</v>
      </c>
      <c r="BW1155" t="str">
        <f>"14:00:07.062"</f>
        <v>14:00:07.062</v>
      </c>
      <c r="CJ1155">
        <v>0</v>
      </c>
      <c r="CK1155">
        <v>2</v>
      </c>
      <c r="CL1155">
        <v>0</v>
      </c>
      <c r="CM1155">
        <v>2</v>
      </c>
      <c r="CN1155">
        <v>0</v>
      </c>
      <c r="CO1155">
        <v>7</v>
      </c>
      <c r="CP1155" t="s">
        <v>119</v>
      </c>
      <c r="CQ1155">
        <v>209</v>
      </c>
      <c r="CR1155">
        <v>3</v>
      </c>
      <c r="CW1155">
        <v>7292893</v>
      </c>
      <c r="CY1155">
        <v>1</v>
      </c>
      <c r="CZ1155">
        <v>0</v>
      </c>
      <c r="DA1155">
        <v>0</v>
      </c>
      <c r="DB1155">
        <v>0</v>
      </c>
      <c r="DC1155">
        <v>0</v>
      </c>
      <c r="DD1155">
        <v>1</v>
      </c>
      <c r="DE1155">
        <v>0</v>
      </c>
      <c r="DF1155">
        <v>0</v>
      </c>
      <c r="DG1155">
        <v>0</v>
      </c>
      <c r="DH1155">
        <v>0</v>
      </c>
      <c r="DI1155">
        <v>0</v>
      </c>
    </row>
    <row r="1156" spans="1:113" x14ac:dyDescent="0.3">
      <c r="A1156" t="str">
        <f>"09/28/2021 14:00:07.309"</f>
        <v>09/28/2021 14:00:07.309</v>
      </c>
      <c r="C1156" t="str">
        <f t="shared" si="56"/>
        <v>FFDFD3C0</v>
      </c>
      <c r="D1156" t="s">
        <v>113</v>
      </c>
      <c r="E1156">
        <v>7</v>
      </c>
      <c r="H1156">
        <v>170</v>
      </c>
      <c r="I1156" t="s">
        <v>114</v>
      </c>
      <c r="J1156" t="s">
        <v>115</v>
      </c>
      <c r="K1156">
        <v>0</v>
      </c>
      <c r="L1156">
        <v>3</v>
      </c>
      <c r="M1156">
        <v>0</v>
      </c>
      <c r="N1156">
        <v>2</v>
      </c>
      <c r="O1156">
        <v>1</v>
      </c>
      <c r="P1156">
        <v>0</v>
      </c>
      <c r="Q1156">
        <v>0</v>
      </c>
      <c r="S1156" t="str">
        <f>"14:00:07.055"</f>
        <v>14:00:07.055</v>
      </c>
      <c r="T1156" t="str">
        <f>"14:00:06.555"</f>
        <v>14:00:06.555</v>
      </c>
      <c r="U1156" t="str">
        <f t="shared" si="58"/>
        <v>A92BC1</v>
      </c>
      <c r="V1156">
        <v>0</v>
      </c>
      <c r="W1156">
        <v>0</v>
      </c>
      <c r="X1156">
        <v>2</v>
      </c>
      <c r="Z1156">
        <v>0</v>
      </c>
      <c r="AA1156">
        <v>9</v>
      </c>
      <c r="AB1156">
        <v>3</v>
      </c>
      <c r="AC1156">
        <v>0</v>
      </c>
      <c r="AD1156">
        <v>10</v>
      </c>
      <c r="AE1156">
        <v>0</v>
      </c>
      <c r="AF1156">
        <v>3</v>
      </c>
      <c r="AG1156">
        <v>2</v>
      </c>
      <c r="AH1156">
        <v>0</v>
      </c>
      <c r="AI1156" t="s">
        <v>1256</v>
      </c>
      <c r="AJ1156">
        <v>45.916606999999999</v>
      </c>
      <c r="AK1156" t="s">
        <v>1257</v>
      </c>
      <c r="AL1156">
        <v>-89.051528000000005</v>
      </c>
      <c r="AM1156">
        <v>100</v>
      </c>
      <c r="AN1156">
        <v>15500</v>
      </c>
      <c r="AO1156" t="s">
        <v>118</v>
      </c>
      <c r="AP1156">
        <v>94</v>
      </c>
      <c r="AQ1156">
        <v>71</v>
      </c>
      <c r="AR1156">
        <v>-384</v>
      </c>
      <c r="AZ1156">
        <v>1200</v>
      </c>
      <c r="BA1156">
        <v>1</v>
      </c>
      <c r="BB1156" t="str">
        <f t="shared" si="57"/>
        <v xml:space="preserve">N690LS  </v>
      </c>
      <c r="BC1156">
        <v>1</v>
      </c>
      <c r="BE1156">
        <v>0</v>
      </c>
      <c r="BF1156">
        <v>0</v>
      </c>
      <c r="BG1156">
        <v>0</v>
      </c>
      <c r="BH1156">
        <v>16000</v>
      </c>
      <c r="BI1156">
        <v>1</v>
      </c>
      <c r="BJ1156">
        <v>1</v>
      </c>
      <c r="BK1156">
        <v>1</v>
      </c>
      <c r="BL1156">
        <v>0</v>
      </c>
      <c r="BO1156">
        <v>0</v>
      </c>
      <c r="BP1156">
        <v>0</v>
      </c>
      <c r="BW1156" t="str">
        <f>"14:00:07.062"</f>
        <v>14:00:07.062</v>
      </c>
      <c r="CJ1156">
        <v>0</v>
      </c>
      <c r="CK1156">
        <v>2</v>
      </c>
      <c r="CL1156">
        <v>0</v>
      </c>
      <c r="CM1156">
        <v>2</v>
      </c>
      <c r="CN1156">
        <v>0</v>
      </c>
      <c r="CO1156">
        <v>7</v>
      </c>
      <c r="CP1156" t="s">
        <v>119</v>
      </c>
      <c r="CQ1156">
        <v>209</v>
      </c>
      <c r="CR1156">
        <v>3</v>
      </c>
      <c r="CW1156">
        <v>7292893</v>
      </c>
      <c r="CY1156">
        <v>1</v>
      </c>
      <c r="CZ1156">
        <v>0</v>
      </c>
      <c r="DA1156">
        <v>1</v>
      </c>
      <c r="DB1156">
        <v>0</v>
      </c>
      <c r="DC1156">
        <v>0</v>
      </c>
      <c r="DD1156">
        <v>1</v>
      </c>
      <c r="DE1156">
        <v>0</v>
      </c>
      <c r="DF1156">
        <v>0</v>
      </c>
      <c r="DG1156">
        <v>0</v>
      </c>
      <c r="DH1156">
        <v>0</v>
      </c>
      <c r="DI1156">
        <v>0</v>
      </c>
    </row>
    <row r="1157" spans="1:113" x14ac:dyDescent="0.3">
      <c r="A1157" t="str">
        <f>"09/28/2021 14:00:08.324"</f>
        <v>09/28/2021 14:00:08.324</v>
      </c>
      <c r="C1157" t="str">
        <f t="shared" si="56"/>
        <v>FFDFD3C0</v>
      </c>
      <c r="D1157" t="s">
        <v>120</v>
      </c>
      <c r="E1157">
        <v>12</v>
      </c>
      <c r="F1157">
        <v>1012</v>
      </c>
      <c r="G1157" t="s">
        <v>114</v>
      </c>
      <c r="J1157" t="s">
        <v>121</v>
      </c>
      <c r="K1157">
        <v>0</v>
      </c>
      <c r="L1157">
        <v>3</v>
      </c>
      <c r="M1157">
        <v>0</v>
      </c>
      <c r="N1157">
        <v>2</v>
      </c>
      <c r="O1157">
        <v>1</v>
      </c>
      <c r="P1157">
        <v>0</v>
      </c>
      <c r="Q1157">
        <v>0</v>
      </c>
      <c r="S1157" t="str">
        <f>"14:00:08.109"</f>
        <v>14:00:08.109</v>
      </c>
      <c r="T1157" t="str">
        <f>"14:00:07.609"</f>
        <v>14:00:07.609</v>
      </c>
      <c r="U1157" t="str">
        <f t="shared" si="58"/>
        <v>A92BC1</v>
      </c>
      <c r="V1157">
        <v>0</v>
      </c>
      <c r="W1157">
        <v>0</v>
      </c>
      <c r="X1157">
        <v>2</v>
      </c>
      <c r="Z1157">
        <v>0</v>
      </c>
      <c r="AA1157">
        <v>9</v>
      </c>
      <c r="AB1157">
        <v>3</v>
      </c>
      <c r="AC1157">
        <v>0</v>
      </c>
      <c r="AD1157">
        <v>10</v>
      </c>
      <c r="AE1157">
        <v>0</v>
      </c>
      <c r="AF1157">
        <v>3</v>
      </c>
      <c r="AG1157">
        <v>2</v>
      </c>
      <c r="AH1157">
        <v>0</v>
      </c>
      <c r="AI1157" t="s">
        <v>1258</v>
      </c>
      <c r="AJ1157">
        <v>45.916929000000003</v>
      </c>
      <c r="AK1157" t="s">
        <v>1259</v>
      </c>
      <c r="AL1157">
        <v>-89.050927000000001</v>
      </c>
      <c r="AM1157">
        <v>100</v>
      </c>
      <c r="AN1157">
        <v>15500</v>
      </c>
      <c r="AO1157" t="s">
        <v>118</v>
      </c>
      <c r="AP1157">
        <v>93</v>
      </c>
      <c r="AQ1157">
        <v>70</v>
      </c>
      <c r="AR1157">
        <v>-448</v>
      </c>
      <c r="AZ1157">
        <v>1200</v>
      </c>
      <c r="BA1157">
        <v>1</v>
      </c>
      <c r="BB1157" t="str">
        <f t="shared" si="57"/>
        <v xml:space="preserve">N690LS  </v>
      </c>
      <c r="BC1157">
        <v>1</v>
      </c>
      <c r="BE1157">
        <v>0</v>
      </c>
      <c r="BF1157">
        <v>0</v>
      </c>
      <c r="BG1157">
        <v>0</v>
      </c>
      <c r="BH1157">
        <v>16000</v>
      </c>
      <c r="BI1157">
        <v>1</v>
      </c>
      <c r="BJ1157">
        <v>1</v>
      </c>
      <c r="BK1157">
        <v>1</v>
      </c>
      <c r="BL1157">
        <v>0</v>
      </c>
      <c r="BO1157">
        <v>0</v>
      </c>
      <c r="BP1157">
        <v>0</v>
      </c>
      <c r="BW1157" t="str">
        <f>"14:00:08.110"</f>
        <v>14:00:08.110</v>
      </c>
      <c r="CJ1157">
        <v>0</v>
      </c>
      <c r="CK1157">
        <v>2</v>
      </c>
      <c r="CL1157">
        <v>0</v>
      </c>
      <c r="CM1157">
        <v>2</v>
      </c>
      <c r="CN1157">
        <v>0</v>
      </c>
      <c r="CO1157">
        <v>7</v>
      </c>
      <c r="CP1157" t="s">
        <v>119</v>
      </c>
      <c r="CQ1157">
        <v>209</v>
      </c>
      <c r="CR1157">
        <v>3</v>
      </c>
      <c r="CW1157">
        <v>7293320</v>
      </c>
      <c r="CY1157">
        <v>1</v>
      </c>
      <c r="CZ1157">
        <v>0</v>
      </c>
      <c r="DA1157">
        <v>0</v>
      </c>
      <c r="DB1157">
        <v>0</v>
      </c>
      <c r="DC1157">
        <v>0</v>
      </c>
      <c r="DD1157">
        <v>1</v>
      </c>
      <c r="DE1157">
        <v>0</v>
      </c>
      <c r="DF1157">
        <v>0</v>
      </c>
      <c r="DG1157">
        <v>0</v>
      </c>
      <c r="DH1157">
        <v>0</v>
      </c>
      <c r="DI1157">
        <v>0</v>
      </c>
    </row>
    <row r="1158" spans="1:113" x14ac:dyDescent="0.3">
      <c r="A1158" t="str">
        <f>"09/28/2021 14:00:08.324"</f>
        <v>09/28/2021 14:00:08.324</v>
      </c>
      <c r="C1158" t="str">
        <f t="shared" si="56"/>
        <v>FFDFD3C0</v>
      </c>
      <c r="D1158" t="s">
        <v>113</v>
      </c>
      <c r="E1158">
        <v>7</v>
      </c>
      <c r="H1158">
        <v>170</v>
      </c>
      <c r="I1158" t="s">
        <v>114</v>
      </c>
      <c r="J1158" t="s">
        <v>115</v>
      </c>
      <c r="K1158">
        <v>0</v>
      </c>
      <c r="L1158">
        <v>3</v>
      </c>
      <c r="M1158">
        <v>0</v>
      </c>
      <c r="N1158">
        <v>2</v>
      </c>
      <c r="O1158">
        <v>1</v>
      </c>
      <c r="P1158">
        <v>0</v>
      </c>
      <c r="Q1158">
        <v>0</v>
      </c>
      <c r="S1158" t="str">
        <f>"14:00:08.109"</f>
        <v>14:00:08.109</v>
      </c>
      <c r="T1158" t="str">
        <f>"14:00:07.609"</f>
        <v>14:00:07.609</v>
      </c>
      <c r="U1158" t="str">
        <f t="shared" si="58"/>
        <v>A92BC1</v>
      </c>
      <c r="V1158">
        <v>0</v>
      </c>
      <c r="W1158">
        <v>0</v>
      </c>
      <c r="X1158">
        <v>2</v>
      </c>
      <c r="Z1158">
        <v>0</v>
      </c>
      <c r="AA1158">
        <v>9</v>
      </c>
      <c r="AB1158">
        <v>3</v>
      </c>
      <c r="AC1158">
        <v>0</v>
      </c>
      <c r="AD1158">
        <v>10</v>
      </c>
      <c r="AE1158">
        <v>0</v>
      </c>
      <c r="AF1158">
        <v>3</v>
      </c>
      <c r="AG1158">
        <v>2</v>
      </c>
      <c r="AH1158">
        <v>0</v>
      </c>
      <c r="AI1158" t="s">
        <v>1258</v>
      </c>
      <c r="AJ1158">
        <v>45.916929000000003</v>
      </c>
      <c r="AK1158" t="s">
        <v>1259</v>
      </c>
      <c r="AL1158">
        <v>-89.050927000000001</v>
      </c>
      <c r="AM1158">
        <v>100</v>
      </c>
      <c r="AN1158">
        <v>15500</v>
      </c>
      <c r="AO1158" t="s">
        <v>118</v>
      </c>
      <c r="AP1158">
        <v>93</v>
      </c>
      <c r="AQ1158">
        <v>70</v>
      </c>
      <c r="AR1158">
        <v>-448</v>
      </c>
      <c r="AZ1158">
        <v>1200</v>
      </c>
      <c r="BA1158">
        <v>1</v>
      </c>
      <c r="BB1158" t="str">
        <f t="shared" si="57"/>
        <v xml:space="preserve">N690LS  </v>
      </c>
      <c r="BC1158">
        <v>1</v>
      </c>
      <c r="BE1158">
        <v>0</v>
      </c>
      <c r="BF1158">
        <v>0</v>
      </c>
      <c r="BG1158">
        <v>0</v>
      </c>
      <c r="BH1158">
        <v>16000</v>
      </c>
      <c r="BI1158">
        <v>1</v>
      </c>
      <c r="BJ1158">
        <v>1</v>
      </c>
      <c r="BK1158">
        <v>1</v>
      </c>
      <c r="BL1158">
        <v>0</v>
      </c>
      <c r="BO1158">
        <v>0</v>
      </c>
      <c r="BP1158">
        <v>0</v>
      </c>
      <c r="BW1158" t="str">
        <f>"14:00:08.110"</f>
        <v>14:00:08.110</v>
      </c>
      <c r="CJ1158">
        <v>0</v>
      </c>
      <c r="CK1158">
        <v>2</v>
      </c>
      <c r="CL1158">
        <v>0</v>
      </c>
      <c r="CM1158">
        <v>2</v>
      </c>
      <c r="CN1158">
        <v>0</v>
      </c>
      <c r="CO1158">
        <v>7</v>
      </c>
      <c r="CP1158" t="s">
        <v>119</v>
      </c>
      <c r="CQ1158">
        <v>209</v>
      </c>
      <c r="CR1158">
        <v>3</v>
      </c>
      <c r="CW1158">
        <v>7293320</v>
      </c>
      <c r="CY1158">
        <v>1</v>
      </c>
      <c r="CZ1158">
        <v>0</v>
      </c>
      <c r="DA1158">
        <v>1</v>
      </c>
      <c r="DB1158">
        <v>0</v>
      </c>
      <c r="DC1158">
        <v>0</v>
      </c>
      <c r="DD1158">
        <v>1</v>
      </c>
      <c r="DE1158">
        <v>0</v>
      </c>
      <c r="DF1158">
        <v>0</v>
      </c>
      <c r="DG1158">
        <v>0</v>
      </c>
      <c r="DH1158">
        <v>0</v>
      </c>
      <c r="DI1158">
        <v>0</v>
      </c>
    </row>
    <row r="1159" spans="1:113" x14ac:dyDescent="0.3">
      <c r="A1159" t="str">
        <f>"09/28/2021 14:00:09.451"</f>
        <v>09/28/2021 14:00:09.451</v>
      </c>
      <c r="C1159" t="str">
        <f t="shared" si="56"/>
        <v>FFDFD3C0</v>
      </c>
      <c r="D1159" t="s">
        <v>113</v>
      </c>
      <c r="E1159">
        <v>7</v>
      </c>
      <c r="H1159">
        <v>170</v>
      </c>
      <c r="I1159" t="s">
        <v>114</v>
      </c>
      <c r="J1159" t="s">
        <v>115</v>
      </c>
      <c r="K1159">
        <v>0</v>
      </c>
      <c r="L1159">
        <v>3</v>
      </c>
      <c r="M1159">
        <v>0</v>
      </c>
      <c r="N1159">
        <v>2</v>
      </c>
      <c r="O1159">
        <v>1</v>
      </c>
      <c r="P1159">
        <v>0</v>
      </c>
      <c r="Q1159">
        <v>0</v>
      </c>
      <c r="S1159" t="str">
        <f>"14:00:09.258"</f>
        <v>14:00:09.258</v>
      </c>
      <c r="T1159" t="str">
        <f>"14:00:08.758"</f>
        <v>14:00:08.758</v>
      </c>
      <c r="U1159" t="str">
        <f t="shared" si="58"/>
        <v>A92BC1</v>
      </c>
      <c r="V1159">
        <v>0</v>
      </c>
      <c r="W1159">
        <v>0</v>
      </c>
      <c r="X1159">
        <v>2</v>
      </c>
      <c r="Z1159">
        <v>0</v>
      </c>
      <c r="AA1159">
        <v>9</v>
      </c>
      <c r="AB1159">
        <v>3</v>
      </c>
      <c r="AC1159">
        <v>0</v>
      </c>
      <c r="AD1159">
        <v>10</v>
      </c>
      <c r="AE1159">
        <v>0</v>
      </c>
      <c r="AF1159">
        <v>3</v>
      </c>
      <c r="AG1159">
        <v>2</v>
      </c>
      <c r="AH1159">
        <v>0</v>
      </c>
      <c r="AI1159" t="s">
        <v>1260</v>
      </c>
      <c r="AJ1159">
        <v>45.917315000000002</v>
      </c>
      <c r="AK1159" t="s">
        <v>1261</v>
      </c>
      <c r="AL1159">
        <v>-89.050155000000004</v>
      </c>
      <c r="AM1159">
        <v>100</v>
      </c>
      <c r="AN1159">
        <v>15500</v>
      </c>
      <c r="AO1159" t="s">
        <v>118</v>
      </c>
      <c r="AP1159">
        <v>92</v>
      </c>
      <c r="AQ1159">
        <v>69</v>
      </c>
      <c r="AR1159">
        <v>-576</v>
      </c>
      <c r="AZ1159">
        <v>1200</v>
      </c>
      <c r="BA1159">
        <v>1</v>
      </c>
      <c r="BB1159" t="str">
        <f t="shared" si="57"/>
        <v xml:space="preserve">N690LS  </v>
      </c>
      <c r="BC1159">
        <v>1</v>
      </c>
      <c r="BE1159">
        <v>0</v>
      </c>
      <c r="BF1159">
        <v>0</v>
      </c>
      <c r="BG1159">
        <v>0</v>
      </c>
      <c r="BH1159">
        <v>15975</v>
      </c>
      <c r="BI1159">
        <v>1</v>
      </c>
      <c r="BJ1159">
        <v>1</v>
      </c>
      <c r="BK1159">
        <v>1</v>
      </c>
      <c r="BL1159">
        <v>0</v>
      </c>
      <c r="BO1159">
        <v>0</v>
      </c>
      <c r="BP1159">
        <v>0</v>
      </c>
      <c r="BW1159" t="str">
        <f>"14:00:09.265"</f>
        <v>14:00:09.265</v>
      </c>
      <c r="CJ1159">
        <v>0</v>
      </c>
      <c r="CK1159">
        <v>2</v>
      </c>
      <c r="CL1159">
        <v>0</v>
      </c>
      <c r="CM1159">
        <v>2</v>
      </c>
      <c r="CN1159">
        <v>0</v>
      </c>
      <c r="CO1159">
        <v>7</v>
      </c>
      <c r="CP1159" t="s">
        <v>119</v>
      </c>
      <c r="CQ1159">
        <v>209</v>
      </c>
      <c r="CR1159">
        <v>3</v>
      </c>
      <c r="CW1159">
        <v>7293782</v>
      </c>
      <c r="CY1159">
        <v>1</v>
      </c>
      <c r="CZ1159">
        <v>0</v>
      </c>
      <c r="DA1159">
        <v>0</v>
      </c>
      <c r="DB1159">
        <v>0</v>
      </c>
      <c r="DC1159">
        <v>0</v>
      </c>
      <c r="DD1159">
        <v>1</v>
      </c>
      <c r="DE1159">
        <v>0</v>
      </c>
      <c r="DF1159">
        <v>0</v>
      </c>
      <c r="DG1159">
        <v>0</v>
      </c>
      <c r="DH1159">
        <v>0</v>
      </c>
      <c r="DI1159">
        <v>0</v>
      </c>
    </row>
    <row r="1160" spans="1:113" x14ac:dyDescent="0.3">
      <c r="A1160" t="str">
        <f>"09/28/2021 14:00:09.466"</f>
        <v>09/28/2021 14:00:09.466</v>
      </c>
      <c r="C1160" t="str">
        <f t="shared" si="56"/>
        <v>FFDFD3C0</v>
      </c>
      <c r="D1160" t="s">
        <v>120</v>
      </c>
      <c r="E1160">
        <v>12</v>
      </c>
      <c r="F1160">
        <v>1012</v>
      </c>
      <c r="G1160" t="s">
        <v>114</v>
      </c>
      <c r="J1160" t="s">
        <v>121</v>
      </c>
      <c r="K1160">
        <v>0</v>
      </c>
      <c r="L1160">
        <v>3</v>
      </c>
      <c r="M1160">
        <v>0</v>
      </c>
      <c r="N1160">
        <v>2</v>
      </c>
      <c r="O1160">
        <v>1</v>
      </c>
      <c r="P1160">
        <v>0</v>
      </c>
      <c r="Q1160">
        <v>0</v>
      </c>
      <c r="S1160" t="str">
        <f>"14:00:09.258"</f>
        <v>14:00:09.258</v>
      </c>
      <c r="T1160" t="str">
        <f>"14:00:08.758"</f>
        <v>14:00:08.758</v>
      </c>
      <c r="U1160" t="str">
        <f t="shared" si="58"/>
        <v>A92BC1</v>
      </c>
      <c r="V1160">
        <v>0</v>
      </c>
      <c r="W1160">
        <v>0</v>
      </c>
      <c r="X1160">
        <v>2</v>
      </c>
      <c r="Z1160">
        <v>0</v>
      </c>
      <c r="AA1160">
        <v>9</v>
      </c>
      <c r="AB1160">
        <v>3</v>
      </c>
      <c r="AC1160">
        <v>0</v>
      </c>
      <c r="AD1160">
        <v>10</v>
      </c>
      <c r="AE1160">
        <v>0</v>
      </c>
      <c r="AF1160">
        <v>3</v>
      </c>
      <c r="AG1160">
        <v>2</v>
      </c>
      <c r="AH1160">
        <v>0</v>
      </c>
      <c r="AI1160" t="s">
        <v>1260</v>
      </c>
      <c r="AJ1160">
        <v>45.917315000000002</v>
      </c>
      <c r="AK1160" t="s">
        <v>1261</v>
      </c>
      <c r="AL1160">
        <v>-89.050155000000004</v>
      </c>
      <c r="AM1160">
        <v>100</v>
      </c>
      <c r="AN1160">
        <v>15500</v>
      </c>
      <c r="AO1160" t="s">
        <v>118</v>
      </c>
      <c r="AP1160">
        <v>92</v>
      </c>
      <c r="AQ1160">
        <v>69</v>
      </c>
      <c r="AR1160">
        <v>-576</v>
      </c>
      <c r="AZ1160">
        <v>1200</v>
      </c>
      <c r="BA1160">
        <v>1</v>
      </c>
      <c r="BB1160" t="str">
        <f t="shared" si="57"/>
        <v xml:space="preserve">N690LS  </v>
      </c>
      <c r="BC1160">
        <v>1</v>
      </c>
      <c r="BE1160">
        <v>0</v>
      </c>
      <c r="BF1160">
        <v>0</v>
      </c>
      <c r="BG1160">
        <v>0</v>
      </c>
      <c r="BH1160">
        <v>15975</v>
      </c>
      <c r="BI1160">
        <v>1</v>
      </c>
      <c r="BJ1160">
        <v>1</v>
      </c>
      <c r="BK1160">
        <v>1</v>
      </c>
      <c r="BL1160">
        <v>0</v>
      </c>
      <c r="BO1160">
        <v>0</v>
      </c>
      <c r="BP1160">
        <v>0</v>
      </c>
      <c r="BW1160" t="str">
        <f>"14:00:09.265"</f>
        <v>14:00:09.265</v>
      </c>
      <c r="CJ1160">
        <v>0</v>
      </c>
      <c r="CK1160">
        <v>2</v>
      </c>
      <c r="CL1160">
        <v>0</v>
      </c>
      <c r="CM1160">
        <v>2</v>
      </c>
      <c r="CN1160">
        <v>0</v>
      </c>
      <c r="CO1160">
        <v>7</v>
      </c>
      <c r="CP1160" t="s">
        <v>119</v>
      </c>
      <c r="CQ1160">
        <v>209</v>
      </c>
      <c r="CR1160">
        <v>3</v>
      </c>
      <c r="CW1160">
        <v>7293782</v>
      </c>
      <c r="CY1160">
        <v>1</v>
      </c>
      <c r="CZ1160">
        <v>0</v>
      </c>
      <c r="DA1160">
        <v>1</v>
      </c>
      <c r="DB1160">
        <v>0</v>
      </c>
      <c r="DC1160">
        <v>0</v>
      </c>
      <c r="DD1160">
        <v>1</v>
      </c>
      <c r="DE1160">
        <v>0</v>
      </c>
      <c r="DF1160">
        <v>0</v>
      </c>
      <c r="DG1160">
        <v>0</v>
      </c>
      <c r="DH1160">
        <v>0</v>
      </c>
      <c r="DI1160">
        <v>0</v>
      </c>
    </row>
    <row r="1161" spans="1:113" x14ac:dyDescent="0.3">
      <c r="A1161" t="str">
        <f>"09/28/2021 14:00:10.389"</f>
        <v>09/28/2021 14:00:10.389</v>
      </c>
      <c r="C1161" t="str">
        <f t="shared" si="56"/>
        <v>FFDFD3C0</v>
      </c>
      <c r="D1161" t="s">
        <v>120</v>
      </c>
      <c r="E1161">
        <v>12</v>
      </c>
      <c r="F1161">
        <v>1012</v>
      </c>
      <c r="G1161" t="s">
        <v>114</v>
      </c>
      <c r="J1161" t="s">
        <v>121</v>
      </c>
      <c r="K1161">
        <v>0</v>
      </c>
      <c r="L1161">
        <v>3</v>
      </c>
      <c r="M1161">
        <v>0</v>
      </c>
      <c r="N1161">
        <v>2</v>
      </c>
      <c r="O1161">
        <v>1</v>
      </c>
      <c r="P1161">
        <v>0</v>
      </c>
      <c r="Q1161">
        <v>0</v>
      </c>
      <c r="S1161" t="str">
        <f>"14:00:10.148"</f>
        <v>14:00:10.148</v>
      </c>
      <c r="T1161" t="str">
        <f>"14:00:09.748"</f>
        <v>14:00:09.748</v>
      </c>
      <c r="U1161" t="str">
        <f t="shared" si="58"/>
        <v>A92BC1</v>
      </c>
      <c r="V1161">
        <v>0</v>
      </c>
      <c r="W1161">
        <v>0</v>
      </c>
      <c r="X1161">
        <v>2</v>
      </c>
      <c r="Z1161">
        <v>0</v>
      </c>
      <c r="AA1161">
        <v>9</v>
      </c>
      <c r="AB1161">
        <v>3</v>
      </c>
      <c r="AC1161">
        <v>0</v>
      </c>
      <c r="AD1161">
        <v>10</v>
      </c>
      <c r="AE1161">
        <v>0</v>
      </c>
      <c r="AF1161">
        <v>3</v>
      </c>
      <c r="AG1161">
        <v>2</v>
      </c>
      <c r="AH1161">
        <v>0</v>
      </c>
      <c r="AI1161" t="s">
        <v>1262</v>
      </c>
      <c r="AJ1161">
        <v>45.917594000000001</v>
      </c>
      <c r="AK1161" t="s">
        <v>1263</v>
      </c>
      <c r="AL1161">
        <v>-89.049617999999995</v>
      </c>
      <c r="AM1161">
        <v>100</v>
      </c>
      <c r="AN1161">
        <v>15400</v>
      </c>
      <c r="AO1161" t="s">
        <v>118</v>
      </c>
      <c r="AP1161">
        <v>91</v>
      </c>
      <c r="AQ1161">
        <v>68</v>
      </c>
      <c r="AR1161">
        <v>-640</v>
      </c>
      <c r="AZ1161">
        <v>1200</v>
      </c>
      <c r="BA1161">
        <v>1</v>
      </c>
      <c r="BB1161" t="str">
        <f t="shared" si="57"/>
        <v xml:space="preserve">N690LS  </v>
      </c>
      <c r="BC1161">
        <v>1</v>
      </c>
      <c r="BE1161">
        <v>0</v>
      </c>
      <c r="BF1161">
        <v>0</v>
      </c>
      <c r="BG1161">
        <v>0</v>
      </c>
      <c r="BH1161">
        <v>15975</v>
      </c>
      <c r="BI1161">
        <v>1</v>
      </c>
      <c r="BJ1161">
        <v>1</v>
      </c>
      <c r="BK1161">
        <v>1</v>
      </c>
      <c r="BL1161">
        <v>0</v>
      </c>
      <c r="BO1161">
        <v>0</v>
      </c>
      <c r="BP1161">
        <v>0</v>
      </c>
      <c r="BW1161" t="str">
        <f>"14:00:10.152"</f>
        <v>14:00:10.152</v>
      </c>
      <c r="CJ1161">
        <v>0</v>
      </c>
      <c r="CK1161">
        <v>2</v>
      </c>
      <c r="CL1161">
        <v>0</v>
      </c>
      <c r="CM1161">
        <v>2</v>
      </c>
      <c r="CN1161">
        <v>0</v>
      </c>
      <c r="CO1161">
        <v>7</v>
      </c>
      <c r="CP1161" t="s">
        <v>119</v>
      </c>
      <c r="CQ1161">
        <v>197</v>
      </c>
      <c r="CR1161">
        <v>1</v>
      </c>
      <c r="CW1161">
        <v>7620793</v>
      </c>
      <c r="CY1161">
        <v>1</v>
      </c>
      <c r="CZ1161">
        <v>0</v>
      </c>
      <c r="DA1161">
        <v>0</v>
      </c>
      <c r="DB1161">
        <v>0</v>
      </c>
      <c r="DC1161">
        <v>0</v>
      </c>
      <c r="DD1161">
        <v>1</v>
      </c>
      <c r="DE1161">
        <v>0</v>
      </c>
      <c r="DF1161">
        <v>0</v>
      </c>
      <c r="DG1161">
        <v>0</v>
      </c>
      <c r="DH1161">
        <v>0</v>
      </c>
      <c r="DI1161">
        <v>0</v>
      </c>
    </row>
    <row r="1162" spans="1:113" x14ac:dyDescent="0.3">
      <c r="A1162" t="str">
        <f>"09/28/2021 14:00:10.420"</f>
        <v>09/28/2021 14:00:10.420</v>
      </c>
      <c r="C1162" t="str">
        <f t="shared" si="56"/>
        <v>FFDFD3C0</v>
      </c>
      <c r="D1162" t="s">
        <v>113</v>
      </c>
      <c r="E1162">
        <v>7</v>
      </c>
      <c r="H1162">
        <v>170</v>
      </c>
      <c r="I1162" t="s">
        <v>114</v>
      </c>
      <c r="J1162" t="s">
        <v>115</v>
      </c>
      <c r="K1162">
        <v>0</v>
      </c>
      <c r="L1162">
        <v>3</v>
      </c>
      <c r="M1162">
        <v>0</v>
      </c>
      <c r="N1162">
        <v>2</v>
      </c>
      <c r="O1162">
        <v>1</v>
      </c>
      <c r="P1162">
        <v>0</v>
      </c>
      <c r="Q1162">
        <v>0</v>
      </c>
      <c r="S1162" t="str">
        <f>"14:00:10.148"</f>
        <v>14:00:10.148</v>
      </c>
      <c r="T1162" t="str">
        <f>"14:00:09.748"</f>
        <v>14:00:09.748</v>
      </c>
      <c r="U1162" t="str">
        <f t="shared" si="58"/>
        <v>A92BC1</v>
      </c>
      <c r="V1162">
        <v>0</v>
      </c>
      <c r="W1162">
        <v>0</v>
      </c>
      <c r="X1162">
        <v>2</v>
      </c>
      <c r="Z1162">
        <v>0</v>
      </c>
      <c r="AA1162">
        <v>9</v>
      </c>
      <c r="AB1162">
        <v>3</v>
      </c>
      <c r="AC1162">
        <v>0</v>
      </c>
      <c r="AD1162">
        <v>10</v>
      </c>
      <c r="AE1162">
        <v>0</v>
      </c>
      <c r="AF1162">
        <v>3</v>
      </c>
      <c r="AG1162">
        <v>2</v>
      </c>
      <c r="AH1162">
        <v>0</v>
      </c>
      <c r="AI1162" t="s">
        <v>1262</v>
      </c>
      <c r="AJ1162">
        <v>45.917594000000001</v>
      </c>
      <c r="AK1162" t="s">
        <v>1263</v>
      </c>
      <c r="AL1162">
        <v>-89.049617999999995</v>
      </c>
      <c r="AM1162">
        <v>100</v>
      </c>
      <c r="AN1162">
        <v>15400</v>
      </c>
      <c r="AO1162" t="s">
        <v>118</v>
      </c>
      <c r="AP1162">
        <v>91</v>
      </c>
      <c r="AQ1162">
        <v>68</v>
      </c>
      <c r="AR1162">
        <v>-640</v>
      </c>
      <c r="AZ1162">
        <v>1200</v>
      </c>
      <c r="BA1162">
        <v>1</v>
      </c>
      <c r="BB1162" t="str">
        <f t="shared" si="57"/>
        <v xml:space="preserve">N690LS  </v>
      </c>
      <c r="BC1162">
        <v>1</v>
      </c>
      <c r="BE1162">
        <v>0</v>
      </c>
      <c r="BF1162">
        <v>0</v>
      </c>
      <c r="BG1162">
        <v>0</v>
      </c>
      <c r="BH1162">
        <v>15975</v>
      </c>
      <c r="BI1162">
        <v>1</v>
      </c>
      <c r="BJ1162">
        <v>1</v>
      </c>
      <c r="BK1162">
        <v>1</v>
      </c>
      <c r="BL1162">
        <v>0</v>
      </c>
      <c r="BO1162">
        <v>0</v>
      </c>
      <c r="BP1162">
        <v>0</v>
      </c>
      <c r="BW1162" t="str">
        <f>"14:00:10.152"</f>
        <v>14:00:10.152</v>
      </c>
      <c r="CJ1162">
        <v>0</v>
      </c>
      <c r="CK1162">
        <v>2</v>
      </c>
      <c r="CL1162">
        <v>0</v>
      </c>
      <c r="CM1162">
        <v>2</v>
      </c>
      <c r="CN1162">
        <v>0</v>
      </c>
      <c r="CO1162">
        <v>7</v>
      </c>
      <c r="CP1162" t="s">
        <v>119</v>
      </c>
      <c r="CQ1162">
        <v>197</v>
      </c>
      <c r="CR1162">
        <v>1</v>
      </c>
      <c r="CW1162">
        <v>7620793</v>
      </c>
      <c r="CY1162">
        <v>1</v>
      </c>
      <c r="CZ1162">
        <v>0</v>
      </c>
      <c r="DA1162">
        <v>1</v>
      </c>
      <c r="DB1162">
        <v>0</v>
      </c>
      <c r="DC1162">
        <v>0</v>
      </c>
      <c r="DD1162">
        <v>1</v>
      </c>
      <c r="DE1162">
        <v>0</v>
      </c>
      <c r="DF1162">
        <v>0</v>
      </c>
      <c r="DG1162">
        <v>0</v>
      </c>
      <c r="DH1162">
        <v>0</v>
      </c>
      <c r="DI1162">
        <v>0</v>
      </c>
    </row>
    <row r="1163" spans="1:113" x14ac:dyDescent="0.3">
      <c r="A1163" t="str">
        <f>"09/28/2021 14:00:11.498"</f>
        <v>09/28/2021 14:00:11.498</v>
      </c>
      <c r="C1163" t="str">
        <f t="shared" si="56"/>
        <v>FFDFD3C0</v>
      </c>
      <c r="D1163" t="s">
        <v>113</v>
      </c>
      <c r="E1163">
        <v>7</v>
      </c>
      <c r="H1163">
        <v>170</v>
      </c>
      <c r="I1163" t="s">
        <v>114</v>
      </c>
      <c r="J1163" t="s">
        <v>115</v>
      </c>
      <c r="K1163">
        <v>0</v>
      </c>
      <c r="L1163">
        <v>3</v>
      </c>
      <c r="M1163">
        <v>0</v>
      </c>
      <c r="N1163">
        <v>2</v>
      </c>
      <c r="O1163">
        <v>1</v>
      </c>
      <c r="P1163">
        <v>0</v>
      </c>
      <c r="Q1163">
        <v>0</v>
      </c>
      <c r="S1163" t="str">
        <f>"14:00:11.266"</f>
        <v>14:00:11.266</v>
      </c>
      <c r="T1163" t="str">
        <f>"14:00:10.766"</f>
        <v>14:00:10.766</v>
      </c>
      <c r="U1163" t="str">
        <f t="shared" si="58"/>
        <v>A92BC1</v>
      </c>
      <c r="V1163">
        <v>0</v>
      </c>
      <c r="W1163">
        <v>0</v>
      </c>
      <c r="X1163">
        <v>2</v>
      </c>
      <c r="Z1163">
        <v>0</v>
      </c>
      <c r="AA1163">
        <v>9</v>
      </c>
      <c r="AB1163">
        <v>3</v>
      </c>
      <c r="AC1163">
        <v>0</v>
      </c>
      <c r="AD1163">
        <v>10</v>
      </c>
      <c r="AE1163">
        <v>0</v>
      </c>
      <c r="AF1163">
        <v>3</v>
      </c>
      <c r="AG1163">
        <v>2</v>
      </c>
      <c r="AH1163">
        <v>0</v>
      </c>
      <c r="AI1163" t="s">
        <v>1264</v>
      </c>
      <c r="AJ1163">
        <v>45.917959000000003</v>
      </c>
      <c r="AK1163" t="s">
        <v>1265</v>
      </c>
      <c r="AL1163">
        <v>-89.048996000000002</v>
      </c>
      <c r="AM1163">
        <v>100</v>
      </c>
      <c r="AN1163">
        <v>15400</v>
      </c>
      <c r="AO1163" t="s">
        <v>118</v>
      </c>
      <c r="AP1163">
        <v>91</v>
      </c>
      <c r="AQ1163">
        <v>68</v>
      </c>
      <c r="AR1163">
        <v>-768</v>
      </c>
      <c r="AZ1163">
        <v>1200</v>
      </c>
      <c r="BA1163">
        <v>1</v>
      </c>
      <c r="BB1163" t="str">
        <f t="shared" si="57"/>
        <v xml:space="preserve">N690LS  </v>
      </c>
      <c r="BC1163">
        <v>1</v>
      </c>
      <c r="BE1163">
        <v>0</v>
      </c>
      <c r="BF1163">
        <v>0</v>
      </c>
      <c r="BG1163">
        <v>0</v>
      </c>
      <c r="BH1163">
        <v>15950</v>
      </c>
      <c r="BI1163">
        <v>1</v>
      </c>
      <c r="BJ1163">
        <v>1</v>
      </c>
      <c r="BK1163">
        <v>1</v>
      </c>
      <c r="BL1163">
        <v>0</v>
      </c>
      <c r="BO1163">
        <v>0</v>
      </c>
      <c r="BP1163">
        <v>0</v>
      </c>
      <c r="BW1163" t="str">
        <f>"14:00:11.272"</f>
        <v>14:00:11.272</v>
      </c>
      <c r="CJ1163">
        <v>0</v>
      </c>
      <c r="CK1163">
        <v>2</v>
      </c>
      <c r="CL1163">
        <v>0</v>
      </c>
      <c r="CM1163">
        <v>2</v>
      </c>
      <c r="CN1163">
        <v>0</v>
      </c>
      <c r="CO1163">
        <v>7</v>
      </c>
      <c r="CP1163" t="s">
        <v>119</v>
      </c>
      <c r="CQ1163">
        <v>209</v>
      </c>
      <c r="CR1163">
        <v>3</v>
      </c>
      <c r="CW1163">
        <v>7294498</v>
      </c>
      <c r="CY1163">
        <v>1</v>
      </c>
      <c r="CZ1163">
        <v>0</v>
      </c>
      <c r="DA1163">
        <v>0</v>
      </c>
      <c r="DB1163">
        <v>0</v>
      </c>
      <c r="DC1163">
        <v>0</v>
      </c>
      <c r="DD1163">
        <v>1</v>
      </c>
      <c r="DE1163">
        <v>0</v>
      </c>
      <c r="DF1163">
        <v>0</v>
      </c>
      <c r="DG1163">
        <v>0</v>
      </c>
      <c r="DH1163">
        <v>0</v>
      </c>
      <c r="DI1163">
        <v>0</v>
      </c>
    </row>
    <row r="1164" spans="1:113" x14ac:dyDescent="0.3">
      <c r="A1164" t="str">
        <f>"09/28/2021 14:00:11.498"</f>
        <v>09/28/2021 14:00:11.498</v>
      </c>
      <c r="C1164" t="str">
        <f t="shared" si="56"/>
        <v>FFDFD3C0</v>
      </c>
      <c r="D1164" t="s">
        <v>120</v>
      </c>
      <c r="E1164">
        <v>12</v>
      </c>
      <c r="F1164">
        <v>1012</v>
      </c>
      <c r="G1164" t="s">
        <v>114</v>
      </c>
      <c r="J1164" t="s">
        <v>121</v>
      </c>
      <c r="K1164">
        <v>0</v>
      </c>
      <c r="L1164">
        <v>3</v>
      </c>
      <c r="M1164">
        <v>0</v>
      </c>
      <c r="N1164">
        <v>2</v>
      </c>
      <c r="O1164">
        <v>1</v>
      </c>
      <c r="P1164">
        <v>0</v>
      </c>
      <c r="Q1164">
        <v>0</v>
      </c>
      <c r="S1164" t="str">
        <f>"14:00:11.266"</f>
        <v>14:00:11.266</v>
      </c>
      <c r="T1164" t="str">
        <f>"14:00:10.766"</f>
        <v>14:00:10.766</v>
      </c>
      <c r="U1164" t="str">
        <f t="shared" si="58"/>
        <v>A92BC1</v>
      </c>
      <c r="V1164">
        <v>0</v>
      </c>
      <c r="W1164">
        <v>0</v>
      </c>
      <c r="X1164">
        <v>2</v>
      </c>
      <c r="Z1164">
        <v>0</v>
      </c>
      <c r="AA1164">
        <v>9</v>
      </c>
      <c r="AB1164">
        <v>3</v>
      </c>
      <c r="AC1164">
        <v>0</v>
      </c>
      <c r="AD1164">
        <v>10</v>
      </c>
      <c r="AE1164">
        <v>0</v>
      </c>
      <c r="AF1164">
        <v>3</v>
      </c>
      <c r="AG1164">
        <v>2</v>
      </c>
      <c r="AH1164">
        <v>0</v>
      </c>
      <c r="AI1164" t="s">
        <v>1264</v>
      </c>
      <c r="AJ1164">
        <v>45.917959000000003</v>
      </c>
      <c r="AK1164" t="s">
        <v>1265</v>
      </c>
      <c r="AL1164">
        <v>-89.048996000000002</v>
      </c>
      <c r="AM1164">
        <v>100</v>
      </c>
      <c r="AN1164">
        <v>15400</v>
      </c>
      <c r="AO1164" t="s">
        <v>118</v>
      </c>
      <c r="AP1164">
        <v>91</v>
      </c>
      <c r="AQ1164">
        <v>68</v>
      </c>
      <c r="AR1164">
        <v>-768</v>
      </c>
      <c r="AZ1164">
        <v>1200</v>
      </c>
      <c r="BA1164">
        <v>1</v>
      </c>
      <c r="BB1164" t="str">
        <f t="shared" si="57"/>
        <v xml:space="preserve">N690LS  </v>
      </c>
      <c r="BC1164">
        <v>1</v>
      </c>
      <c r="BE1164">
        <v>0</v>
      </c>
      <c r="BF1164">
        <v>0</v>
      </c>
      <c r="BG1164">
        <v>0</v>
      </c>
      <c r="BH1164">
        <v>15950</v>
      </c>
      <c r="BI1164">
        <v>1</v>
      </c>
      <c r="BJ1164">
        <v>1</v>
      </c>
      <c r="BK1164">
        <v>1</v>
      </c>
      <c r="BL1164">
        <v>0</v>
      </c>
      <c r="BO1164">
        <v>0</v>
      </c>
      <c r="BP1164">
        <v>0</v>
      </c>
      <c r="BW1164" t="str">
        <f>"14:00:11.272"</f>
        <v>14:00:11.272</v>
      </c>
      <c r="CJ1164">
        <v>0</v>
      </c>
      <c r="CK1164">
        <v>2</v>
      </c>
      <c r="CL1164">
        <v>0</v>
      </c>
      <c r="CM1164">
        <v>2</v>
      </c>
      <c r="CN1164">
        <v>0</v>
      </c>
      <c r="CO1164">
        <v>7</v>
      </c>
      <c r="CP1164" t="s">
        <v>119</v>
      </c>
      <c r="CQ1164">
        <v>209</v>
      </c>
      <c r="CR1164">
        <v>3</v>
      </c>
      <c r="CW1164">
        <v>7294498</v>
      </c>
      <c r="CY1164">
        <v>1</v>
      </c>
      <c r="CZ1164">
        <v>0</v>
      </c>
      <c r="DA1164">
        <v>1</v>
      </c>
      <c r="DB1164">
        <v>0</v>
      </c>
      <c r="DC1164">
        <v>0</v>
      </c>
      <c r="DD1164">
        <v>1</v>
      </c>
      <c r="DE1164">
        <v>0</v>
      </c>
      <c r="DF1164">
        <v>0</v>
      </c>
      <c r="DG1164">
        <v>0</v>
      </c>
      <c r="DH1164">
        <v>0</v>
      </c>
      <c r="DI1164">
        <v>0</v>
      </c>
    </row>
    <row r="1165" spans="1:113" x14ac:dyDescent="0.3">
      <c r="A1165" t="str">
        <f>"09/28/2021 14:00:12.405"</f>
        <v>09/28/2021 14:00:12.405</v>
      </c>
      <c r="C1165" t="str">
        <f t="shared" si="56"/>
        <v>FFDFD3C0</v>
      </c>
      <c r="D1165" t="s">
        <v>120</v>
      </c>
      <c r="E1165">
        <v>12</v>
      </c>
      <c r="F1165">
        <v>1012</v>
      </c>
      <c r="G1165" t="s">
        <v>114</v>
      </c>
      <c r="J1165" t="s">
        <v>121</v>
      </c>
      <c r="K1165">
        <v>0</v>
      </c>
      <c r="L1165">
        <v>3</v>
      </c>
      <c r="M1165">
        <v>0</v>
      </c>
      <c r="N1165">
        <v>2</v>
      </c>
      <c r="O1165">
        <v>1</v>
      </c>
      <c r="P1165">
        <v>0</v>
      </c>
      <c r="Q1165">
        <v>0</v>
      </c>
      <c r="S1165" t="str">
        <f>"14:00:12.172"</f>
        <v>14:00:12.172</v>
      </c>
      <c r="T1165" t="str">
        <f>"14:00:11.772"</f>
        <v>14:00:11.772</v>
      </c>
      <c r="U1165" t="str">
        <f t="shared" si="58"/>
        <v>A92BC1</v>
      </c>
      <c r="V1165">
        <v>0</v>
      </c>
      <c r="W1165">
        <v>0</v>
      </c>
      <c r="X1165">
        <v>2</v>
      </c>
      <c r="Z1165">
        <v>0</v>
      </c>
      <c r="AA1165">
        <v>9</v>
      </c>
      <c r="AB1165">
        <v>3</v>
      </c>
      <c r="AC1165">
        <v>0</v>
      </c>
      <c r="AD1165">
        <v>10</v>
      </c>
      <c r="AE1165">
        <v>0</v>
      </c>
      <c r="AF1165">
        <v>3</v>
      </c>
      <c r="AG1165">
        <v>2</v>
      </c>
      <c r="AH1165">
        <v>0</v>
      </c>
      <c r="AI1165" t="s">
        <v>1266</v>
      </c>
      <c r="AJ1165">
        <v>45.918238000000002</v>
      </c>
      <c r="AK1165" t="s">
        <v>1267</v>
      </c>
      <c r="AL1165">
        <v>-89.048417000000001</v>
      </c>
      <c r="AM1165">
        <v>100</v>
      </c>
      <c r="AN1165">
        <v>15400</v>
      </c>
      <c r="AO1165" t="s">
        <v>118</v>
      </c>
      <c r="AP1165">
        <v>90</v>
      </c>
      <c r="AQ1165">
        <v>67</v>
      </c>
      <c r="AR1165">
        <v>-832</v>
      </c>
      <c r="AZ1165">
        <v>1200</v>
      </c>
      <c r="BA1165">
        <v>1</v>
      </c>
      <c r="BB1165" t="str">
        <f t="shared" si="57"/>
        <v xml:space="preserve">N690LS  </v>
      </c>
      <c r="BC1165">
        <v>1</v>
      </c>
      <c r="BE1165">
        <v>0</v>
      </c>
      <c r="BF1165">
        <v>0</v>
      </c>
      <c r="BG1165">
        <v>0</v>
      </c>
      <c r="BH1165">
        <v>15950</v>
      </c>
      <c r="BI1165">
        <v>1</v>
      </c>
      <c r="BJ1165">
        <v>1</v>
      </c>
      <c r="BK1165">
        <v>1</v>
      </c>
      <c r="BL1165">
        <v>0</v>
      </c>
      <c r="BO1165">
        <v>0</v>
      </c>
      <c r="BP1165">
        <v>0</v>
      </c>
      <c r="BW1165" t="str">
        <f>"14:00:12.178"</f>
        <v>14:00:12.178</v>
      </c>
      <c r="CJ1165">
        <v>0</v>
      </c>
      <c r="CK1165">
        <v>2</v>
      </c>
      <c r="CL1165">
        <v>0</v>
      </c>
      <c r="CM1165">
        <v>2</v>
      </c>
      <c r="CN1165">
        <v>0</v>
      </c>
      <c r="CO1165">
        <v>7</v>
      </c>
      <c r="CP1165" t="s">
        <v>119</v>
      </c>
      <c r="CQ1165">
        <v>209</v>
      </c>
      <c r="CR1165">
        <v>3</v>
      </c>
      <c r="CW1165">
        <v>7294828</v>
      </c>
      <c r="CY1165">
        <v>1</v>
      </c>
      <c r="CZ1165">
        <v>0</v>
      </c>
      <c r="DA1165">
        <v>0</v>
      </c>
      <c r="DB1165">
        <v>0</v>
      </c>
      <c r="DC1165">
        <v>0</v>
      </c>
      <c r="DD1165">
        <v>1</v>
      </c>
      <c r="DE1165">
        <v>0</v>
      </c>
      <c r="DF1165">
        <v>0</v>
      </c>
      <c r="DG1165">
        <v>0</v>
      </c>
      <c r="DH1165">
        <v>0</v>
      </c>
      <c r="DI1165">
        <v>0</v>
      </c>
    </row>
    <row r="1166" spans="1:113" x14ac:dyDescent="0.3">
      <c r="A1166" t="str">
        <f>"09/28/2021 14:00:12.405"</f>
        <v>09/28/2021 14:00:12.405</v>
      </c>
      <c r="C1166" t="str">
        <f t="shared" si="56"/>
        <v>FFDFD3C0</v>
      </c>
      <c r="D1166" t="s">
        <v>113</v>
      </c>
      <c r="E1166">
        <v>7</v>
      </c>
      <c r="H1166">
        <v>170</v>
      </c>
      <c r="I1166" t="s">
        <v>114</v>
      </c>
      <c r="J1166" t="s">
        <v>115</v>
      </c>
      <c r="K1166">
        <v>0</v>
      </c>
      <c r="L1166">
        <v>3</v>
      </c>
      <c r="M1166">
        <v>0</v>
      </c>
      <c r="N1166">
        <v>2</v>
      </c>
      <c r="O1166">
        <v>1</v>
      </c>
      <c r="P1166">
        <v>0</v>
      </c>
      <c r="Q1166">
        <v>0</v>
      </c>
      <c r="S1166" t="str">
        <f>"14:00:12.172"</f>
        <v>14:00:12.172</v>
      </c>
      <c r="T1166" t="str">
        <f>"14:00:11.772"</f>
        <v>14:00:11.772</v>
      </c>
      <c r="U1166" t="str">
        <f t="shared" si="58"/>
        <v>A92BC1</v>
      </c>
      <c r="V1166">
        <v>0</v>
      </c>
      <c r="W1166">
        <v>0</v>
      </c>
      <c r="X1166">
        <v>2</v>
      </c>
      <c r="Z1166">
        <v>0</v>
      </c>
      <c r="AA1166">
        <v>9</v>
      </c>
      <c r="AB1166">
        <v>3</v>
      </c>
      <c r="AC1166">
        <v>0</v>
      </c>
      <c r="AD1166">
        <v>10</v>
      </c>
      <c r="AE1166">
        <v>0</v>
      </c>
      <c r="AF1166">
        <v>3</v>
      </c>
      <c r="AG1166">
        <v>2</v>
      </c>
      <c r="AH1166">
        <v>0</v>
      </c>
      <c r="AI1166" t="s">
        <v>1266</v>
      </c>
      <c r="AJ1166">
        <v>45.918238000000002</v>
      </c>
      <c r="AK1166" t="s">
        <v>1267</v>
      </c>
      <c r="AL1166">
        <v>-89.048417000000001</v>
      </c>
      <c r="AM1166">
        <v>100</v>
      </c>
      <c r="AN1166">
        <v>15400</v>
      </c>
      <c r="AO1166" t="s">
        <v>118</v>
      </c>
      <c r="AP1166">
        <v>90</v>
      </c>
      <c r="AQ1166">
        <v>67</v>
      </c>
      <c r="AR1166">
        <v>-832</v>
      </c>
      <c r="AZ1166">
        <v>1200</v>
      </c>
      <c r="BA1166">
        <v>1</v>
      </c>
      <c r="BB1166" t="str">
        <f t="shared" si="57"/>
        <v xml:space="preserve">N690LS  </v>
      </c>
      <c r="BC1166">
        <v>1</v>
      </c>
      <c r="BE1166">
        <v>0</v>
      </c>
      <c r="BF1166">
        <v>0</v>
      </c>
      <c r="BG1166">
        <v>0</v>
      </c>
      <c r="BH1166">
        <v>15950</v>
      </c>
      <c r="BI1166">
        <v>1</v>
      </c>
      <c r="BJ1166">
        <v>1</v>
      </c>
      <c r="BK1166">
        <v>1</v>
      </c>
      <c r="BL1166">
        <v>0</v>
      </c>
      <c r="BO1166">
        <v>0</v>
      </c>
      <c r="BP1166">
        <v>0</v>
      </c>
      <c r="BW1166" t="str">
        <f>"14:00:12.178"</f>
        <v>14:00:12.178</v>
      </c>
      <c r="CJ1166">
        <v>0</v>
      </c>
      <c r="CK1166">
        <v>2</v>
      </c>
      <c r="CL1166">
        <v>0</v>
      </c>
      <c r="CM1166">
        <v>2</v>
      </c>
      <c r="CN1166">
        <v>0</v>
      </c>
      <c r="CO1166">
        <v>7</v>
      </c>
      <c r="CP1166" t="s">
        <v>119</v>
      </c>
      <c r="CQ1166">
        <v>209</v>
      </c>
      <c r="CR1166">
        <v>3</v>
      </c>
      <c r="CW1166">
        <v>7294828</v>
      </c>
      <c r="CY1166">
        <v>1</v>
      </c>
      <c r="CZ1166">
        <v>0</v>
      </c>
      <c r="DA1166">
        <v>1</v>
      </c>
      <c r="DB1166">
        <v>0</v>
      </c>
      <c r="DC1166">
        <v>0</v>
      </c>
      <c r="DD1166">
        <v>1</v>
      </c>
      <c r="DE1166">
        <v>0</v>
      </c>
      <c r="DF1166">
        <v>0</v>
      </c>
      <c r="DG1166">
        <v>0</v>
      </c>
      <c r="DH1166">
        <v>0</v>
      </c>
      <c r="DI1166">
        <v>0</v>
      </c>
    </row>
    <row r="1167" spans="1:113" x14ac:dyDescent="0.3">
      <c r="A1167" t="str">
        <f>"09/28/2021 14:00:13.467"</f>
        <v>09/28/2021 14:00:13.467</v>
      </c>
      <c r="C1167" t="str">
        <f t="shared" si="56"/>
        <v>FFDFD3C0</v>
      </c>
      <c r="D1167" t="s">
        <v>113</v>
      </c>
      <c r="E1167">
        <v>7</v>
      </c>
      <c r="H1167">
        <v>170</v>
      </c>
      <c r="I1167" t="s">
        <v>114</v>
      </c>
      <c r="J1167" t="s">
        <v>115</v>
      </c>
      <c r="K1167">
        <v>0</v>
      </c>
      <c r="L1167">
        <v>3</v>
      </c>
      <c r="M1167">
        <v>0</v>
      </c>
      <c r="N1167">
        <v>2</v>
      </c>
      <c r="O1167">
        <v>1</v>
      </c>
      <c r="P1167">
        <v>0</v>
      </c>
      <c r="Q1167">
        <v>0</v>
      </c>
      <c r="S1167" t="str">
        <f>"14:00:13.211"</f>
        <v>14:00:13.211</v>
      </c>
      <c r="T1167" t="str">
        <f>"14:00:12.711"</f>
        <v>14:00:12.711</v>
      </c>
      <c r="U1167" t="str">
        <f t="shared" si="58"/>
        <v>A92BC1</v>
      </c>
      <c r="V1167">
        <v>0</v>
      </c>
      <c r="W1167">
        <v>0</v>
      </c>
      <c r="X1167">
        <v>2</v>
      </c>
      <c r="Z1167">
        <v>0</v>
      </c>
      <c r="AA1167">
        <v>9</v>
      </c>
      <c r="AB1167">
        <v>3</v>
      </c>
      <c r="AC1167">
        <v>0</v>
      </c>
      <c r="AD1167">
        <v>10</v>
      </c>
      <c r="AE1167">
        <v>0</v>
      </c>
      <c r="AF1167">
        <v>3</v>
      </c>
      <c r="AG1167">
        <v>2</v>
      </c>
      <c r="AH1167">
        <v>0</v>
      </c>
      <c r="AI1167" t="s">
        <v>1268</v>
      </c>
      <c r="AJ1167">
        <v>45.918539000000003</v>
      </c>
      <c r="AK1167" t="s">
        <v>1269</v>
      </c>
      <c r="AL1167">
        <v>-89.047815999999997</v>
      </c>
      <c r="AM1167">
        <v>100</v>
      </c>
      <c r="AN1167">
        <v>15400</v>
      </c>
      <c r="AO1167" t="s">
        <v>118</v>
      </c>
      <c r="AP1167">
        <v>90</v>
      </c>
      <c r="AQ1167">
        <v>67</v>
      </c>
      <c r="AR1167">
        <v>-896</v>
      </c>
      <c r="AZ1167">
        <v>1200</v>
      </c>
      <c r="BA1167">
        <v>1</v>
      </c>
      <c r="BB1167" t="str">
        <f t="shared" si="57"/>
        <v xml:space="preserve">N690LS  </v>
      </c>
      <c r="BC1167">
        <v>1</v>
      </c>
      <c r="BE1167">
        <v>0</v>
      </c>
      <c r="BF1167">
        <v>0</v>
      </c>
      <c r="BG1167">
        <v>0</v>
      </c>
      <c r="BH1167">
        <v>15925</v>
      </c>
      <c r="BI1167">
        <v>1</v>
      </c>
      <c r="BJ1167">
        <v>1</v>
      </c>
      <c r="BK1167">
        <v>1</v>
      </c>
      <c r="BL1167">
        <v>0</v>
      </c>
      <c r="BO1167">
        <v>0</v>
      </c>
      <c r="BP1167">
        <v>0</v>
      </c>
      <c r="BW1167" t="str">
        <f>"14:00:13.214"</f>
        <v>14:00:13.214</v>
      </c>
      <c r="CJ1167">
        <v>0</v>
      </c>
      <c r="CK1167">
        <v>2</v>
      </c>
      <c r="CL1167">
        <v>0</v>
      </c>
      <c r="CM1167">
        <v>2</v>
      </c>
      <c r="CN1167">
        <v>0</v>
      </c>
      <c r="CO1167">
        <v>7</v>
      </c>
      <c r="CP1167" t="s">
        <v>119</v>
      </c>
      <c r="CQ1167">
        <v>209</v>
      </c>
      <c r="CR1167">
        <v>3</v>
      </c>
      <c r="CW1167">
        <v>7295228</v>
      </c>
      <c r="CY1167">
        <v>1</v>
      </c>
      <c r="CZ1167">
        <v>0</v>
      </c>
      <c r="DA1167">
        <v>0</v>
      </c>
      <c r="DB1167">
        <v>0</v>
      </c>
      <c r="DC1167">
        <v>0</v>
      </c>
      <c r="DD1167">
        <v>1</v>
      </c>
      <c r="DE1167">
        <v>0</v>
      </c>
      <c r="DF1167">
        <v>0</v>
      </c>
      <c r="DG1167">
        <v>0</v>
      </c>
      <c r="DH1167">
        <v>0</v>
      </c>
      <c r="DI1167">
        <v>0</v>
      </c>
    </row>
    <row r="1168" spans="1:113" x14ac:dyDescent="0.3">
      <c r="A1168" t="str">
        <f>"09/28/2021 14:00:13.483"</f>
        <v>09/28/2021 14:00:13.483</v>
      </c>
      <c r="C1168" t="str">
        <f t="shared" si="56"/>
        <v>FFDFD3C0</v>
      </c>
      <c r="D1168" t="s">
        <v>120</v>
      </c>
      <c r="E1168">
        <v>12</v>
      </c>
      <c r="F1168">
        <v>1012</v>
      </c>
      <c r="G1168" t="s">
        <v>114</v>
      </c>
      <c r="J1168" t="s">
        <v>121</v>
      </c>
      <c r="K1168">
        <v>0</v>
      </c>
      <c r="L1168">
        <v>3</v>
      </c>
      <c r="M1168">
        <v>0</v>
      </c>
      <c r="N1168">
        <v>2</v>
      </c>
      <c r="O1168">
        <v>1</v>
      </c>
      <c r="P1168">
        <v>0</v>
      </c>
      <c r="Q1168">
        <v>0</v>
      </c>
      <c r="S1168" t="str">
        <f>"14:00:13.211"</f>
        <v>14:00:13.211</v>
      </c>
      <c r="T1168" t="str">
        <f>"14:00:12.711"</f>
        <v>14:00:12.711</v>
      </c>
      <c r="U1168" t="str">
        <f t="shared" si="58"/>
        <v>A92BC1</v>
      </c>
      <c r="V1168">
        <v>0</v>
      </c>
      <c r="W1168">
        <v>0</v>
      </c>
      <c r="X1168">
        <v>2</v>
      </c>
      <c r="Z1168">
        <v>0</v>
      </c>
      <c r="AA1168">
        <v>9</v>
      </c>
      <c r="AB1168">
        <v>3</v>
      </c>
      <c r="AC1168">
        <v>0</v>
      </c>
      <c r="AD1168">
        <v>10</v>
      </c>
      <c r="AE1168">
        <v>0</v>
      </c>
      <c r="AF1168">
        <v>3</v>
      </c>
      <c r="AG1168">
        <v>2</v>
      </c>
      <c r="AH1168">
        <v>0</v>
      </c>
      <c r="AI1168" t="s">
        <v>1268</v>
      </c>
      <c r="AJ1168">
        <v>45.918539000000003</v>
      </c>
      <c r="AK1168" t="s">
        <v>1269</v>
      </c>
      <c r="AL1168">
        <v>-89.047815999999997</v>
      </c>
      <c r="AM1168">
        <v>100</v>
      </c>
      <c r="AN1168">
        <v>15400</v>
      </c>
      <c r="AO1168" t="s">
        <v>118</v>
      </c>
      <c r="AP1168">
        <v>90</v>
      </c>
      <c r="AQ1168">
        <v>67</v>
      </c>
      <c r="AR1168">
        <v>-896</v>
      </c>
      <c r="AZ1168">
        <v>1200</v>
      </c>
      <c r="BA1168">
        <v>1</v>
      </c>
      <c r="BB1168" t="str">
        <f t="shared" si="57"/>
        <v xml:space="preserve">N690LS  </v>
      </c>
      <c r="BC1168">
        <v>1</v>
      </c>
      <c r="BE1168">
        <v>0</v>
      </c>
      <c r="BF1168">
        <v>0</v>
      </c>
      <c r="BG1168">
        <v>0</v>
      </c>
      <c r="BH1168">
        <v>15925</v>
      </c>
      <c r="BI1168">
        <v>1</v>
      </c>
      <c r="BJ1168">
        <v>1</v>
      </c>
      <c r="BK1168">
        <v>1</v>
      </c>
      <c r="BL1168">
        <v>0</v>
      </c>
      <c r="BO1168">
        <v>0</v>
      </c>
      <c r="BP1168">
        <v>0</v>
      </c>
      <c r="BW1168" t="str">
        <f>"14:00:13.214"</f>
        <v>14:00:13.214</v>
      </c>
      <c r="CJ1168">
        <v>0</v>
      </c>
      <c r="CK1168">
        <v>2</v>
      </c>
      <c r="CL1168">
        <v>0</v>
      </c>
      <c r="CM1168">
        <v>2</v>
      </c>
      <c r="CN1168">
        <v>0</v>
      </c>
      <c r="CO1168">
        <v>7</v>
      </c>
      <c r="CP1168" t="s">
        <v>119</v>
      </c>
      <c r="CQ1168">
        <v>209</v>
      </c>
      <c r="CR1168">
        <v>3</v>
      </c>
      <c r="CW1168">
        <v>7295228</v>
      </c>
      <c r="CY1168">
        <v>1</v>
      </c>
      <c r="CZ1168">
        <v>0</v>
      </c>
      <c r="DA1168">
        <v>1</v>
      </c>
      <c r="DB1168">
        <v>0</v>
      </c>
      <c r="DC1168">
        <v>0</v>
      </c>
      <c r="DD1168">
        <v>1</v>
      </c>
      <c r="DE1168">
        <v>0</v>
      </c>
      <c r="DF1168">
        <v>0</v>
      </c>
      <c r="DG1168">
        <v>0</v>
      </c>
      <c r="DH1168">
        <v>0</v>
      </c>
      <c r="DI1168">
        <v>0</v>
      </c>
    </row>
    <row r="1169" spans="1:113" x14ac:dyDescent="0.3">
      <c r="A1169" t="str">
        <f>"09/28/2021 14:00:14.407"</f>
        <v>09/28/2021 14:00:14.407</v>
      </c>
      <c r="C1169" t="str">
        <f t="shared" si="56"/>
        <v>FFDFD3C0</v>
      </c>
      <c r="D1169" t="s">
        <v>120</v>
      </c>
      <c r="E1169">
        <v>12</v>
      </c>
      <c r="F1169">
        <v>1012</v>
      </c>
      <c r="G1169" t="s">
        <v>114</v>
      </c>
      <c r="J1169" t="s">
        <v>121</v>
      </c>
      <c r="K1169">
        <v>0</v>
      </c>
      <c r="L1169">
        <v>3</v>
      </c>
      <c r="M1169">
        <v>0</v>
      </c>
      <c r="N1169">
        <v>2</v>
      </c>
      <c r="O1169">
        <v>1</v>
      </c>
      <c r="P1169">
        <v>0</v>
      </c>
      <c r="Q1169">
        <v>0</v>
      </c>
      <c r="S1169" t="str">
        <f>"14:00:14.148"</f>
        <v>14:00:14.148</v>
      </c>
      <c r="T1169" t="str">
        <f>"14:00:13.848"</f>
        <v>14:00:13.848</v>
      </c>
      <c r="U1169" t="str">
        <f t="shared" si="58"/>
        <v>A92BC1</v>
      </c>
      <c r="V1169">
        <v>0</v>
      </c>
      <c r="W1169">
        <v>0</v>
      </c>
      <c r="X1169">
        <v>2</v>
      </c>
      <c r="Z1169">
        <v>0</v>
      </c>
      <c r="AA1169">
        <v>9</v>
      </c>
      <c r="AB1169">
        <v>3</v>
      </c>
      <c r="AC1169">
        <v>0</v>
      </c>
      <c r="AD1169">
        <v>10</v>
      </c>
      <c r="AE1169">
        <v>0</v>
      </c>
      <c r="AF1169">
        <v>3</v>
      </c>
      <c r="AG1169">
        <v>2</v>
      </c>
      <c r="AH1169">
        <v>0</v>
      </c>
      <c r="AI1169" t="s">
        <v>1270</v>
      </c>
      <c r="AJ1169">
        <v>45.918818000000002</v>
      </c>
      <c r="AK1169" t="s">
        <v>1271</v>
      </c>
      <c r="AL1169">
        <v>-89.047279000000003</v>
      </c>
      <c r="AM1169">
        <v>100</v>
      </c>
      <c r="AN1169">
        <v>15400</v>
      </c>
      <c r="AO1169" t="s">
        <v>118</v>
      </c>
      <c r="AP1169">
        <v>90</v>
      </c>
      <c r="AQ1169">
        <v>66</v>
      </c>
      <c r="AR1169">
        <v>-1024</v>
      </c>
      <c r="AZ1169">
        <v>1200</v>
      </c>
      <c r="BA1169">
        <v>1</v>
      </c>
      <c r="BB1169" t="str">
        <f t="shared" si="57"/>
        <v xml:space="preserve">N690LS  </v>
      </c>
      <c r="BC1169">
        <v>1</v>
      </c>
      <c r="BE1169">
        <v>0</v>
      </c>
      <c r="BF1169">
        <v>0</v>
      </c>
      <c r="BG1169">
        <v>0</v>
      </c>
      <c r="BH1169">
        <v>15925</v>
      </c>
      <c r="BI1169">
        <v>1</v>
      </c>
      <c r="BJ1169">
        <v>1</v>
      </c>
      <c r="BK1169">
        <v>1</v>
      </c>
      <c r="BL1169">
        <v>0</v>
      </c>
      <c r="BO1169">
        <v>0</v>
      </c>
      <c r="BP1169">
        <v>0</v>
      </c>
      <c r="BW1169" t="str">
        <f>"14:00:14.151"</f>
        <v>14:00:14.151</v>
      </c>
      <c r="CJ1169">
        <v>0</v>
      </c>
      <c r="CK1169">
        <v>2</v>
      </c>
      <c r="CL1169">
        <v>0</v>
      </c>
      <c r="CM1169">
        <v>2</v>
      </c>
      <c r="CN1169">
        <v>0</v>
      </c>
      <c r="CO1169">
        <v>7</v>
      </c>
      <c r="CP1169" t="s">
        <v>119</v>
      </c>
      <c r="CQ1169">
        <v>209</v>
      </c>
      <c r="CR1169">
        <v>3</v>
      </c>
      <c r="CW1169">
        <v>7295591</v>
      </c>
      <c r="CY1169">
        <v>1</v>
      </c>
      <c r="CZ1169">
        <v>0</v>
      </c>
      <c r="DA1169">
        <v>0</v>
      </c>
      <c r="DB1169">
        <v>0</v>
      </c>
      <c r="DC1169">
        <v>0</v>
      </c>
      <c r="DD1169">
        <v>1</v>
      </c>
      <c r="DE1169">
        <v>0</v>
      </c>
      <c r="DF1169">
        <v>0</v>
      </c>
      <c r="DG1169">
        <v>0</v>
      </c>
      <c r="DH1169">
        <v>0</v>
      </c>
      <c r="DI1169">
        <v>0</v>
      </c>
    </row>
    <row r="1170" spans="1:113" x14ac:dyDescent="0.3">
      <c r="A1170" t="str">
        <f>"09/28/2021 14:00:14.407"</f>
        <v>09/28/2021 14:00:14.407</v>
      </c>
      <c r="C1170" t="str">
        <f t="shared" si="56"/>
        <v>FFDFD3C0</v>
      </c>
      <c r="D1170" t="s">
        <v>113</v>
      </c>
      <c r="E1170">
        <v>7</v>
      </c>
      <c r="H1170">
        <v>170</v>
      </c>
      <c r="I1170" t="s">
        <v>114</v>
      </c>
      <c r="J1170" t="s">
        <v>115</v>
      </c>
      <c r="K1170">
        <v>0</v>
      </c>
      <c r="L1170">
        <v>3</v>
      </c>
      <c r="M1170">
        <v>0</v>
      </c>
      <c r="N1170">
        <v>2</v>
      </c>
      <c r="O1170">
        <v>1</v>
      </c>
      <c r="P1170">
        <v>0</v>
      </c>
      <c r="Q1170">
        <v>0</v>
      </c>
      <c r="S1170" t="str">
        <f>"14:00:14.148"</f>
        <v>14:00:14.148</v>
      </c>
      <c r="T1170" t="str">
        <f>"14:00:13.848"</f>
        <v>14:00:13.848</v>
      </c>
      <c r="U1170" t="str">
        <f t="shared" si="58"/>
        <v>A92BC1</v>
      </c>
      <c r="V1170">
        <v>0</v>
      </c>
      <c r="W1170">
        <v>0</v>
      </c>
      <c r="X1170">
        <v>2</v>
      </c>
      <c r="Z1170">
        <v>0</v>
      </c>
      <c r="AA1170">
        <v>9</v>
      </c>
      <c r="AB1170">
        <v>3</v>
      </c>
      <c r="AC1170">
        <v>0</v>
      </c>
      <c r="AD1170">
        <v>10</v>
      </c>
      <c r="AE1170">
        <v>0</v>
      </c>
      <c r="AF1170">
        <v>3</v>
      </c>
      <c r="AG1170">
        <v>2</v>
      </c>
      <c r="AH1170">
        <v>0</v>
      </c>
      <c r="AI1170" t="s">
        <v>1270</v>
      </c>
      <c r="AJ1170">
        <v>45.918818000000002</v>
      </c>
      <c r="AK1170" t="s">
        <v>1271</v>
      </c>
      <c r="AL1170">
        <v>-89.047279000000003</v>
      </c>
      <c r="AM1170">
        <v>100</v>
      </c>
      <c r="AN1170">
        <v>15400</v>
      </c>
      <c r="AO1170" t="s">
        <v>118</v>
      </c>
      <c r="AP1170">
        <v>90</v>
      </c>
      <c r="AQ1170">
        <v>66</v>
      </c>
      <c r="AR1170">
        <v>-1024</v>
      </c>
      <c r="AZ1170">
        <v>1200</v>
      </c>
      <c r="BA1170">
        <v>1</v>
      </c>
      <c r="BB1170" t="str">
        <f t="shared" si="57"/>
        <v xml:space="preserve">N690LS  </v>
      </c>
      <c r="BC1170">
        <v>1</v>
      </c>
      <c r="BE1170">
        <v>0</v>
      </c>
      <c r="BF1170">
        <v>0</v>
      </c>
      <c r="BG1170">
        <v>0</v>
      </c>
      <c r="BH1170">
        <v>15925</v>
      </c>
      <c r="BI1170">
        <v>1</v>
      </c>
      <c r="BJ1170">
        <v>1</v>
      </c>
      <c r="BK1170">
        <v>1</v>
      </c>
      <c r="BL1170">
        <v>0</v>
      </c>
      <c r="BO1170">
        <v>0</v>
      </c>
      <c r="BP1170">
        <v>0</v>
      </c>
      <c r="BW1170" t="str">
        <f>"14:00:14.151"</f>
        <v>14:00:14.151</v>
      </c>
      <c r="CJ1170">
        <v>0</v>
      </c>
      <c r="CK1170">
        <v>2</v>
      </c>
      <c r="CL1170">
        <v>0</v>
      </c>
      <c r="CM1170">
        <v>2</v>
      </c>
      <c r="CN1170">
        <v>0</v>
      </c>
      <c r="CO1170">
        <v>7</v>
      </c>
      <c r="CP1170" t="s">
        <v>119</v>
      </c>
      <c r="CQ1170">
        <v>209</v>
      </c>
      <c r="CR1170">
        <v>3</v>
      </c>
      <c r="CW1170">
        <v>7295591</v>
      </c>
      <c r="CY1170">
        <v>1</v>
      </c>
      <c r="CZ1170">
        <v>0</v>
      </c>
      <c r="DA1170">
        <v>1</v>
      </c>
      <c r="DB1170">
        <v>0</v>
      </c>
      <c r="DC1170">
        <v>0</v>
      </c>
      <c r="DD1170">
        <v>1</v>
      </c>
      <c r="DE1170">
        <v>0</v>
      </c>
      <c r="DF1170">
        <v>0</v>
      </c>
      <c r="DG1170">
        <v>0</v>
      </c>
      <c r="DH1170">
        <v>0</v>
      </c>
      <c r="DI1170">
        <v>0</v>
      </c>
    </row>
    <row r="1171" spans="1:113" x14ac:dyDescent="0.3">
      <c r="A1171" t="str">
        <f>"09/28/2021 14:00:15.282"</f>
        <v>09/28/2021 14:00:15.282</v>
      </c>
      <c r="C1171" t="str">
        <f t="shared" si="56"/>
        <v>FFDFD3C0</v>
      </c>
      <c r="D1171" t="s">
        <v>120</v>
      </c>
      <c r="E1171">
        <v>12</v>
      </c>
      <c r="F1171">
        <v>1012</v>
      </c>
      <c r="G1171" t="s">
        <v>114</v>
      </c>
      <c r="J1171" t="s">
        <v>121</v>
      </c>
      <c r="K1171">
        <v>0</v>
      </c>
      <c r="L1171">
        <v>3</v>
      </c>
      <c r="M1171">
        <v>0</v>
      </c>
      <c r="N1171">
        <v>2</v>
      </c>
      <c r="O1171">
        <v>1</v>
      </c>
      <c r="P1171">
        <v>0</v>
      </c>
      <c r="Q1171">
        <v>0</v>
      </c>
      <c r="S1171" t="str">
        <f>"14:00:15.109"</f>
        <v>14:00:15.109</v>
      </c>
      <c r="T1171" t="str">
        <f>"14:00:14.709"</f>
        <v>14:00:14.709</v>
      </c>
      <c r="U1171" t="str">
        <f t="shared" si="58"/>
        <v>A92BC1</v>
      </c>
      <c r="V1171">
        <v>0</v>
      </c>
      <c r="W1171">
        <v>0</v>
      </c>
      <c r="X1171">
        <v>2</v>
      </c>
      <c r="Z1171">
        <v>0</v>
      </c>
      <c r="AA1171">
        <v>9</v>
      </c>
      <c r="AB1171">
        <v>3</v>
      </c>
      <c r="AC1171">
        <v>0</v>
      </c>
      <c r="AD1171">
        <v>10</v>
      </c>
      <c r="AE1171">
        <v>0</v>
      </c>
      <c r="AF1171">
        <v>3</v>
      </c>
      <c r="AG1171">
        <v>2</v>
      </c>
      <c r="AH1171">
        <v>0</v>
      </c>
      <c r="AI1171" t="s">
        <v>1272</v>
      </c>
      <c r="AJ1171">
        <v>45.919117999999997</v>
      </c>
      <c r="AK1171" t="s">
        <v>1273</v>
      </c>
      <c r="AL1171">
        <v>-89.046721000000005</v>
      </c>
      <c r="AM1171">
        <v>100</v>
      </c>
      <c r="AN1171">
        <v>15400</v>
      </c>
      <c r="AO1171" t="s">
        <v>118</v>
      </c>
      <c r="AP1171">
        <v>89</v>
      </c>
      <c r="AQ1171">
        <v>66</v>
      </c>
      <c r="AR1171">
        <v>-1152</v>
      </c>
      <c r="AZ1171">
        <v>1200</v>
      </c>
      <c r="BA1171">
        <v>1</v>
      </c>
      <c r="BB1171" t="str">
        <f t="shared" si="57"/>
        <v xml:space="preserve">N690LS  </v>
      </c>
      <c r="BC1171">
        <v>1</v>
      </c>
      <c r="BE1171">
        <v>0</v>
      </c>
      <c r="BF1171">
        <v>0</v>
      </c>
      <c r="BG1171">
        <v>0</v>
      </c>
      <c r="BH1171">
        <v>15900</v>
      </c>
      <c r="BI1171">
        <v>1</v>
      </c>
      <c r="BJ1171">
        <v>1</v>
      </c>
      <c r="BK1171">
        <v>1</v>
      </c>
      <c r="BL1171">
        <v>0</v>
      </c>
      <c r="BO1171">
        <v>0</v>
      </c>
      <c r="BP1171">
        <v>0</v>
      </c>
      <c r="BW1171" t="str">
        <f>"14:00:15.115"</f>
        <v>14:00:15.115</v>
      </c>
      <c r="CJ1171">
        <v>0</v>
      </c>
      <c r="CK1171">
        <v>2</v>
      </c>
      <c r="CL1171">
        <v>0</v>
      </c>
      <c r="CM1171">
        <v>2</v>
      </c>
      <c r="CN1171">
        <v>0</v>
      </c>
      <c r="CO1171">
        <v>7</v>
      </c>
      <c r="CP1171" t="s">
        <v>119</v>
      </c>
      <c r="CQ1171">
        <v>209</v>
      </c>
      <c r="CR1171">
        <v>3</v>
      </c>
      <c r="CW1171">
        <v>7295934</v>
      </c>
      <c r="CY1171">
        <v>1</v>
      </c>
      <c r="CZ1171">
        <v>0</v>
      </c>
      <c r="DA1171">
        <v>0</v>
      </c>
      <c r="DB1171">
        <v>0</v>
      </c>
      <c r="DC1171">
        <v>0</v>
      </c>
      <c r="DD1171">
        <v>1</v>
      </c>
      <c r="DE1171">
        <v>0</v>
      </c>
      <c r="DF1171">
        <v>0</v>
      </c>
      <c r="DG1171">
        <v>0</v>
      </c>
      <c r="DH1171">
        <v>0</v>
      </c>
      <c r="DI1171">
        <v>0</v>
      </c>
    </row>
    <row r="1172" spans="1:113" x14ac:dyDescent="0.3">
      <c r="A1172" t="str">
        <f>"09/28/2021 14:00:15.329"</f>
        <v>09/28/2021 14:00:15.329</v>
      </c>
      <c r="C1172" t="str">
        <f t="shared" si="56"/>
        <v>FFDFD3C0</v>
      </c>
      <c r="D1172" t="s">
        <v>113</v>
      </c>
      <c r="E1172">
        <v>7</v>
      </c>
      <c r="H1172">
        <v>170</v>
      </c>
      <c r="I1172" t="s">
        <v>114</v>
      </c>
      <c r="J1172" t="s">
        <v>115</v>
      </c>
      <c r="K1172">
        <v>0</v>
      </c>
      <c r="L1172">
        <v>3</v>
      </c>
      <c r="M1172">
        <v>0</v>
      </c>
      <c r="N1172">
        <v>2</v>
      </c>
      <c r="O1172">
        <v>1</v>
      </c>
      <c r="P1172">
        <v>0</v>
      </c>
      <c r="Q1172">
        <v>0</v>
      </c>
      <c r="S1172" t="str">
        <f>"14:00:15.109"</f>
        <v>14:00:15.109</v>
      </c>
      <c r="T1172" t="str">
        <f>"14:00:14.709"</f>
        <v>14:00:14.709</v>
      </c>
      <c r="U1172" t="str">
        <f t="shared" si="58"/>
        <v>A92BC1</v>
      </c>
      <c r="V1172">
        <v>0</v>
      </c>
      <c r="W1172">
        <v>0</v>
      </c>
      <c r="X1172">
        <v>2</v>
      </c>
      <c r="Z1172">
        <v>0</v>
      </c>
      <c r="AA1172">
        <v>9</v>
      </c>
      <c r="AB1172">
        <v>3</v>
      </c>
      <c r="AC1172">
        <v>0</v>
      </c>
      <c r="AD1172">
        <v>10</v>
      </c>
      <c r="AE1172">
        <v>0</v>
      </c>
      <c r="AF1172">
        <v>3</v>
      </c>
      <c r="AG1172">
        <v>2</v>
      </c>
      <c r="AH1172">
        <v>0</v>
      </c>
      <c r="AI1172" t="s">
        <v>1272</v>
      </c>
      <c r="AJ1172">
        <v>45.919117999999997</v>
      </c>
      <c r="AK1172" t="s">
        <v>1273</v>
      </c>
      <c r="AL1172">
        <v>-89.046721000000005</v>
      </c>
      <c r="AM1172">
        <v>100</v>
      </c>
      <c r="AN1172">
        <v>15400</v>
      </c>
      <c r="AO1172" t="s">
        <v>118</v>
      </c>
      <c r="AP1172">
        <v>89</v>
      </c>
      <c r="AQ1172">
        <v>66</v>
      </c>
      <c r="AR1172">
        <v>-1152</v>
      </c>
      <c r="AZ1172">
        <v>1200</v>
      </c>
      <c r="BA1172">
        <v>1</v>
      </c>
      <c r="BB1172" t="str">
        <f t="shared" si="57"/>
        <v xml:space="preserve">N690LS  </v>
      </c>
      <c r="BC1172">
        <v>1</v>
      </c>
      <c r="BE1172">
        <v>0</v>
      </c>
      <c r="BF1172">
        <v>0</v>
      </c>
      <c r="BG1172">
        <v>0</v>
      </c>
      <c r="BH1172">
        <v>15900</v>
      </c>
      <c r="BI1172">
        <v>1</v>
      </c>
      <c r="BJ1172">
        <v>1</v>
      </c>
      <c r="BK1172">
        <v>1</v>
      </c>
      <c r="BL1172">
        <v>0</v>
      </c>
      <c r="BO1172">
        <v>0</v>
      </c>
      <c r="BP1172">
        <v>0</v>
      </c>
      <c r="BW1172" t="str">
        <f>"14:00:15.115"</f>
        <v>14:00:15.115</v>
      </c>
      <c r="CJ1172">
        <v>0</v>
      </c>
      <c r="CK1172">
        <v>2</v>
      </c>
      <c r="CL1172">
        <v>0</v>
      </c>
      <c r="CM1172">
        <v>2</v>
      </c>
      <c r="CN1172">
        <v>0</v>
      </c>
      <c r="CO1172">
        <v>7</v>
      </c>
      <c r="CP1172" t="s">
        <v>119</v>
      </c>
      <c r="CQ1172">
        <v>209</v>
      </c>
      <c r="CR1172">
        <v>3</v>
      </c>
      <c r="CW1172">
        <v>7295934</v>
      </c>
      <c r="CY1172">
        <v>1</v>
      </c>
      <c r="CZ1172">
        <v>0</v>
      </c>
      <c r="DA1172">
        <v>1</v>
      </c>
      <c r="DB1172">
        <v>0</v>
      </c>
      <c r="DC1172">
        <v>0</v>
      </c>
      <c r="DD1172">
        <v>1</v>
      </c>
      <c r="DE1172">
        <v>0</v>
      </c>
      <c r="DF1172">
        <v>0</v>
      </c>
      <c r="DG1172">
        <v>0</v>
      </c>
      <c r="DH1172">
        <v>0</v>
      </c>
      <c r="DI1172">
        <v>0</v>
      </c>
    </row>
    <row r="1173" spans="1:113" x14ac:dyDescent="0.3">
      <c r="A1173" t="str">
        <f>"09/28/2021 14:00:16.219"</f>
        <v>09/28/2021 14:00:16.219</v>
      </c>
      <c r="C1173" t="str">
        <f t="shared" si="56"/>
        <v>FFDFD3C0</v>
      </c>
      <c r="D1173" t="s">
        <v>113</v>
      </c>
      <c r="E1173">
        <v>7</v>
      </c>
      <c r="H1173">
        <v>170</v>
      </c>
      <c r="I1173" t="s">
        <v>114</v>
      </c>
      <c r="J1173" t="s">
        <v>115</v>
      </c>
      <c r="K1173">
        <v>0</v>
      </c>
      <c r="L1173">
        <v>3</v>
      </c>
      <c r="M1173">
        <v>0</v>
      </c>
      <c r="N1173">
        <v>2</v>
      </c>
      <c r="O1173">
        <v>1</v>
      </c>
      <c r="P1173">
        <v>0</v>
      </c>
      <c r="Q1173">
        <v>0</v>
      </c>
      <c r="S1173" t="str">
        <f>"14:00:16.031"</f>
        <v>14:00:16.031</v>
      </c>
      <c r="T1173" t="str">
        <f>"14:00:15.631"</f>
        <v>14:00:15.631</v>
      </c>
      <c r="U1173" t="str">
        <f t="shared" si="58"/>
        <v>A92BC1</v>
      </c>
      <c r="V1173">
        <v>0</v>
      </c>
      <c r="W1173">
        <v>0</v>
      </c>
      <c r="X1173">
        <v>2</v>
      </c>
      <c r="Z1173">
        <v>0</v>
      </c>
      <c r="AA1173">
        <v>9</v>
      </c>
      <c r="AB1173">
        <v>3</v>
      </c>
      <c r="AC1173">
        <v>0</v>
      </c>
      <c r="AD1173">
        <v>10</v>
      </c>
      <c r="AE1173">
        <v>0</v>
      </c>
      <c r="AF1173">
        <v>3</v>
      </c>
      <c r="AG1173">
        <v>2</v>
      </c>
      <c r="AH1173">
        <v>0</v>
      </c>
      <c r="AI1173" t="s">
        <v>1274</v>
      </c>
      <c r="AJ1173">
        <v>45.919396999999996</v>
      </c>
      <c r="AK1173" t="s">
        <v>1275</v>
      </c>
      <c r="AL1173">
        <v>-89.046120999999999</v>
      </c>
      <c r="AM1173">
        <v>100</v>
      </c>
      <c r="AN1173">
        <v>15400</v>
      </c>
      <c r="AO1173" t="s">
        <v>118</v>
      </c>
      <c r="AP1173">
        <v>89</v>
      </c>
      <c r="AQ1173">
        <v>66</v>
      </c>
      <c r="AR1173">
        <v>-1216</v>
      </c>
      <c r="AZ1173">
        <v>1200</v>
      </c>
      <c r="BA1173">
        <v>1</v>
      </c>
      <c r="BB1173" t="str">
        <f t="shared" si="57"/>
        <v xml:space="preserve">N690LS  </v>
      </c>
      <c r="BC1173">
        <v>1</v>
      </c>
      <c r="BE1173">
        <v>0</v>
      </c>
      <c r="BF1173">
        <v>0</v>
      </c>
      <c r="BG1173">
        <v>0</v>
      </c>
      <c r="BH1173">
        <v>15875</v>
      </c>
      <c r="BI1173">
        <v>1</v>
      </c>
      <c r="BJ1173">
        <v>1</v>
      </c>
      <c r="BK1173">
        <v>1</v>
      </c>
      <c r="BL1173">
        <v>0</v>
      </c>
      <c r="BO1173">
        <v>0</v>
      </c>
      <c r="BP1173">
        <v>0</v>
      </c>
      <c r="BW1173" t="str">
        <f>"14:00:16.037"</f>
        <v>14:00:16.037</v>
      </c>
      <c r="CJ1173">
        <v>0</v>
      </c>
      <c r="CK1173">
        <v>2</v>
      </c>
      <c r="CL1173">
        <v>0</v>
      </c>
      <c r="CM1173">
        <v>2</v>
      </c>
      <c r="CN1173">
        <v>0</v>
      </c>
      <c r="CO1173">
        <v>7</v>
      </c>
      <c r="CP1173" t="s">
        <v>119</v>
      </c>
      <c r="CQ1173">
        <v>209</v>
      </c>
      <c r="CR1173">
        <v>3</v>
      </c>
      <c r="CW1173">
        <v>7296280</v>
      </c>
      <c r="CY1173">
        <v>1</v>
      </c>
      <c r="CZ1173">
        <v>0</v>
      </c>
      <c r="DA1173">
        <v>0</v>
      </c>
      <c r="DB1173">
        <v>0</v>
      </c>
      <c r="DC1173">
        <v>0</v>
      </c>
      <c r="DD1173">
        <v>1</v>
      </c>
      <c r="DE1173">
        <v>0</v>
      </c>
      <c r="DF1173">
        <v>0</v>
      </c>
      <c r="DG1173">
        <v>0</v>
      </c>
      <c r="DH1173">
        <v>0</v>
      </c>
      <c r="DI1173">
        <v>0</v>
      </c>
    </row>
    <row r="1174" spans="1:113" x14ac:dyDescent="0.3">
      <c r="A1174" t="str">
        <f>"09/28/2021 14:00:16.251"</f>
        <v>09/28/2021 14:00:16.251</v>
      </c>
      <c r="C1174" t="str">
        <f t="shared" si="56"/>
        <v>FFDFD3C0</v>
      </c>
      <c r="D1174" t="s">
        <v>120</v>
      </c>
      <c r="E1174">
        <v>12</v>
      </c>
      <c r="F1174">
        <v>1012</v>
      </c>
      <c r="G1174" t="s">
        <v>114</v>
      </c>
      <c r="J1174" t="s">
        <v>121</v>
      </c>
      <c r="K1174">
        <v>0</v>
      </c>
      <c r="L1174">
        <v>3</v>
      </c>
      <c r="M1174">
        <v>0</v>
      </c>
      <c r="N1174">
        <v>2</v>
      </c>
      <c r="O1174">
        <v>1</v>
      </c>
      <c r="P1174">
        <v>0</v>
      </c>
      <c r="Q1174">
        <v>0</v>
      </c>
      <c r="S1174" t="str">
        <f>"14:00:16.031"</f>
        <v>14:00:16.031</v>
      </c>
      <c r="T1174" t="str">
        <f>"14:00:15.631"</f>
        <v>14:00:15.631</v>
      </c>
      <c r="U1174" t="str">
        <f t="shared" si="58"/>
        <v>A92BC1</v>
      </c>
      <c r="V1174">
        <v>0</v>
      </c>
      <c r="W1174">
        <v>0</v>
      </c>
      <c r="X1174">
        <v>2</v>
      </c>
      <c r="Z1174">
        <v>0</v>
      </c>
      <c r="AA1174">
        <v>9</v>
      </c>
      <c r="AB1174">
        <v>3</v>
      </c>
      <c r="AC1174">
        <v>0</v>
      </c>
      <c r="AD1174">
        <v>10</v>
      </c>
      <c r="AE1174">
        <v>0</v>
      </c>
      <c r="AF1174">
        <v>3</v>
      </c>
      <c r="AG1174">
        <v>2</v>
      </c>
      <c r="AH1174">
        <v>0</v>
      </c>
      <c r="AI1174" t="s">
        <v>1274</v>
      </c>
      <c r="AJ1174">
        <v>45.919396999999996</v>
      </c>
      <c r="AK1174" t="s">
        <v>1275</v>
      </c>
      <c r="AL1174">
        <v>-89.046120999999999</v>
      </c>
      <c r="AM1174">
        <v>100</v>
      </c>
      <c r="AN1174">
        <v>15400</v>
      </c>
      <c r="AO1174" t="s">
        <v>118</v>
      </c>
      <c r="AP1174">
        <v>89</v>
      </c>
      <c r="AQ1174">
        <v>66</v>
      </c>
      <c r="AR1174">
        <v>-1216</v>
      </c>
      <c r="AZ1174">
        <v>1200</v>
      </c>
      <c r="BA1174">
        <v>1</v>
      </c>
      <c r="BB1174" t="str">
        <f t="shared" si="57"/>
        <v xml:space="preserve">N690LS  </v>
      </c>
      <c r="BC1174">
        <v>1</v>
      </c>
      <c r="BE1174">
        <v>0</v>
      </c>
      <c r="BF1174">
        <v>0</v>
      </c>
      <c r="BG1174">
        <v>0</v>
      </c>
      <c r="BH1174">
        <v>15875</v>
      </c>
      <c r="BI1174">
        <v>1</v>
      </c>
      <c r="BJ1174">
        <v>1</v>
      </c>
      <c r="BK1174">
        <v>1</v>
      </c>
      <c r="BL1174">
        <v>0</v>
      </c>
      <c r="BO1174">
        <v>0</v>
      </c>
      <c r="BP1174">
        <v>0</v>
      </c>
      <c r="BW1174" t="str">
        <f>"14:00:16.037"</f>
        <v>14:00:16.037</v>
      </c>
      <c r="CJ1174">
        <v>0</v>
      </c>
      <c r="CK1174">
        <v>2</v>
      </c>
      <c r="CL1174">
        <v>0</v>
      </c>
      <c r="CM1174">
        <v>2</v>
      </c>
      <c r="CN1174">
        <v>0</v>
      </c>
      <c r="CO1174">
        <v>7</v>
      </c>
      <c r="CP1174" t="s">
        <v>119</v>
      </c>
      <c r="CQ1174">
        <v>209</v>
      </c>
      <c r="CR1174">
        <v>3</v>
      </c>
      <c r="CW1174">
        <v>7296280</v>
      </c>
      <c r="CY1174">
        <v>1</v>
      </c>
      <c r="CZ1174">
        <v>0</v>
      </c>
      <c r="DA1174">
        <v>1</v>
      </c>
      <c r="DB1174">
        <v>0</v>
      </c>
      <c r="DC1174">
        <v>0</v>
      </c>
      <c r="DD1174">
        <v>1</v>
      </c>
      <c r="DE1174">
        <v>0</v>
      </c>
      <c r="DF1174">
        <v>0</v>
      </c>
      <c r="DG1174">
        <v>0</v>
      </c>
      <c r="DH1174">
        <v>0</v>
      </c>
      <c r="DI1174">
        <v>0</v>
      </c>
    </row>
    <row r="1175" spans="1:113" x14ac:dyDescent="0.3">
      <c r="A1175" t="str">
        <f>"09/28/2021 14:00:17.212"</f>
        <v>09/28/2021 14:00:17.212</v>
      </c>
      <c r="C1175" t="str">
        <f t="shared" si="56"/>
        <v>FFDFD3C0</v>
      </c>
      <c r="D1175" t="s">
        <v>113</v>
      </c>
      <c r="E1175">
        <v>7</v>
      </c>
      <c r="H1175">
        <v>170</v>
      </c>
      <c r="I1175" t="s">
        <v>114</v>
      </c>
      <c r="J1175" t="s">
        <v>115</v>
      </c>
      <c r="K1175">
        <v>0</v>
      </c>
      <c r="L1175">
        <v>3</v>
      </c>
      <c r="M1175">
        <v>0</v>
      </c>
      <c r="N1175">
        <v>2</v>
      </c>
      <c r="O1175">
        <v>1</v>
      </c>
      <c r="P1175">
        <v>0</v>
      </c>
      <c r="Q1175">
        <v>0</v>
      </c>
      <c r="S1175" t="str">
        <f>"14:00:16.984"</f>
        <v>14:00:16.984</v>
      </c>
      <c r="T1175" t="str">
        <f>"14:00:16.584"</f>
        <v>14:00:16.584</v>
      </c>
      <c r="U1175" t="str">
        <f t="shared" si="58"/>
        <v>A92BC1</v>
      </c>
      <c r="V1175">
        <v>0</v>
      </c>
      <c r="W1175">
        <v>0</v>
      </c>
      <c r="X1175">
        <v>2</v>
      </c>
      <c r="Z1175">
        <v>0</v>
      </c>
      <c r="AA1175">
        <v>9</v>
      </c>
      <c r="AB1175">
        <v>3</v>
      </c>
      <c r="AC1175">
        <v>0</v>
      </c>
      <c r="AD1175">
        <v>10</v>
      </c>
      <c r="AE1175">
        <v>0</v>
      </c>
      <c r="AF1175">
        <v>3</v>
      </c>
      <c r="AG1175">
        <v>2</v>
      </c>
      <c r="AH1175">
        <v>0</v>
      </c>
      <c r="AI1175" t="s">
        <v>1276</v>
      </c>
      <c r="AJ1175">
        <v>45.919696999999999</v>
      </c>
      <c r="AK1175" t="s">
        <v>1277</v>
      </c>
      <c r="AL1175">
        <v>-89.045606000000006</v>
      </c>
      <c r="AM1175">
        <v>100</v>
      </c>
      <c r="AN1175">
        <v>15300</v>
      </c>
      <c r="AO1175" t="s">
        <v>118</v>
      </c>
      <c r="AP1175">
        <v>89</v>
      </c>
      <c r="AQ1175">
        <v>65</v>
      </c>
      <c r="AR1175">
        <v>-1280</v>
      </c>
      <c r="AZ1175">
        <v>1200</v>
      </c>
      <c r="BA1175">
        <v>1</v>
      </c>
      <c r="BB1175" t="str">
        <f t="shared" si="57"/>
        <v xml:space="preserve">N690LS  </v>
      </c>
      <c r="BC1175">
        <v>1</v>
      </c>
      <c r="BE1175">
        <v>0</v>
      </c>
      <c r="BF1175">
        <v>0</v>
      </c>
      <c r="BG1175">
        <v>0</v>
      </c>
      <c r="BH1175">
        <v>15875</v>
      </c>
      <c r="BI1175">
        <v>1</v>
      </c>
      <c r="BJ1175">
        <v>1</v>
      </c>
      <c r="BK1175">
        <v>1</v>
      </c>
      <c r="BL1175">
        <v>0</v>
      </c>
      <c r="BO1175">
        <v>0</v>
      </c>
      <c r="BP1175">
        <v>0</v>
      </c>
      <c r="BW1175" t="str">
        <f>"14:00:16.986"</f>
        <v>14:00:16.986</v>
      </c>
      <c r="CJ1175">
        <v>0</v>
      </c>
      <c r="CK1175">
        <v>2</v>
      </c>
      <c r="CL1175">
        <v>0</v>
      </c>
      <c r="CM1175">
        <v>2</v>
      </c>
      <c r="CN1175">
        <v>0</v>
      </c>
      <c r="CO1175">
        <v>7</v>
      </c>
      <c r="CP1175" t="s">
        <v>119</v>
      </c>
      <c r="CQ1175">
        <v>209</v>
      </c>
      <c r="CR1175">
        <v>3</v>
      </c>
      <c r="CW1175">
        <v>7296631</v>
      </c>
      <c r="CY1175">
        <v>1</v>
      </c>
      <c r="CZ1175">
        <v>0</v>
      </c>
      <c r="DA1175">
        <v>0</v>
      </c>
      <c r="DB1175">
        <v>0</v>
      </c>
      <c r="DC1175">
        <v>0</v>
      </c>
      <c r="DD1175">
        <v>1</v>
      </c>
      <c r="DE1175">
        <v>0</v>
      </c>
      <c r="DF1175">
        <v>0</v>
      </c>
      <c r="DG1175">
        <v>0</v>
      </c>
      <c r="DH1175">
        <v>0</v>
      </c>
      <c r="DI1175">
        <v>0</v>
      </c>
    </row>
    <row r="1176" spans="1:113" x14ac:dyDescent="0.3">
      <c r="A1176" t="str">
        <f>"09/28/2021 14:00:17.212"</f>
        <v>09/28/2021 14:00:17.212</v>
      </c>
      <c r="C1176" t="str">
        <f t="shared" si="56"/>
        <v>FFDFD3C0</v>
      </c>
      <c r="D1176" t="s">
        <v>120</v>
      </c>
      <c r="E1176">
        <v>12</v>
      </c>
      <c r="F1176">
        <v>1012</v>
      </c>
      <c r="G1176" t="s">
        <v>114</v>
      </c>
      <c r="J1176" t="s">
        <v>121</v>
      </c>
      <c r="K1176">
        <v>0</v>
      </c>
      <c r="L1176">
        <v>3</v>
      </c>
      <c r="M1176">
        <v>0</v>
      </c>
      <c r="N1176">
        <v>2</v>
      </c>
      <c r="O1176">
        <v>1</v>
      </c>
      <c r="P1176">
        <v>0</v>
      </c>
      <c r="Q1176">
        <v>0</v>
      </c>
      <c r="S1176" t="str">
        <f>"14:00:16.984"</f>
        <v>14:00:16.984</v>
      </c>
      <c r="T1176" t="str">
        <f>"14:00:16.584"</f>
        <v>14:00:16.584</v>
      </c>
      <c r="U1176" t="str">
        <f t="shared" si="58"/>
        <v>A92BC1</v>
      </c>
      <c r="V1176">
        <v>0</v>
      </c>
      <c r="W1176">
        <v>0</v>
      </c>
      <c r="X1176">
        <v>2</v>
      </c>
      <c r="Z1176">
        <v>0</v>
      </c>
      <c r="AA1176">
        <v>9</v>
      </c>
      <c r="AB1176">
        <v>3</v>
      </c>
      <c r="AC1176">
        <v>0</v>
      </c>
      <c r="AD1176">
        <v>10</v>
      </c>
      <c r="AE1176">
        <v>0</v>
      </c>
      <c r="AF1176">
        <v>3</v>
      </c>
      <c r="AG1176">
        <v>2</v>
      </c>
      <c r="AH1176">
        <v>0</v>
      </c>
      <c r="AI1176" t="s">
        <v>1276</v>
      </c>
      <c r="AJ1176">
        <v>45.919696999999999</v>
      </c>
      <c r="AK1176" t="s">
        <v>1277</v>
      </c>
      <c r="AL1176">
        <v>-89.045606000000006</v>
      </c>
      <c r="AM1176">
        <v>100</v>
      </c>
      <c r="AN1176">
        <v>15300</v>
      </c>
      <c r="AO1176" t="s">
        <v>118</v>
      </c>
      <c r="AP1176">
        <v>89</v>
      </c>
      <c r="AQ1176">
        <v>65</v>
      </c>
      <c r="AR1176">
        <v>-1280</v>
      </c>
      <c r="AZ1176">
        <v>1200</v>
      </c>
      <c r="BA1176">
        <v>1</v>
      </c>
      <c r="BB1176" t="str">
        <f t="shared" si="57"/>
        <v xml:space="preserve">N690LS  </v>
      </c>
      <c r="BC1176">
        <v>1</v>
      </c>
      <c r="BE1176">
        <v>0</v>
      </c>
      <c r="BF1176">
        <v>0</v>
      </c>
      <c r="BG1176">
        <v>0</v>
      </c>
      <c r="BH1176">
        <v>15875</v>
      </c>
      <c r="BI1176">
        <v>1</v>
      </c>
      <c r="BJ1176">
        <v>1</v>
      </c>
      <c r="BK1176">
        <v>1</v>
      </c>
      <c r="BL1176">
        <v>0</v>
      </c>
      <c r="BO1176">
        <v>0</v>
      </c>
      <c r="BP1176">
        <v>0</v>
      </c>
      <c r="BW1176" t="str">
        <f>"14:00:16.986"</f>
        <v>14:00:16.986</v>
      </c>
      <c r="CJ1176">
        <v>0</v>
      </c>
      <c r="CK1176">
        <v>2</v>
      </c>
      <c r="CL1176">
        <v>0</v>
      </c>
      <c r="CM1176">
        <v>2</v>
      </c>
      <c r="CN1176">
        <v>0</v>
      </c>
      <c r="CO1176">
        <v>7</v>
      </c>
      <c r="CP1176" t="s">
        <v>119</v>
      </c>
      <c r="CQ1176">
        <v>209</v>
      </c>
      <c r="CR1176">
        <v>3</v>
      </c>
      <c r="CW1176">
        <v>7296631</v>
      </c>
      <c r="CY1176">
        <v>1</v>
      </c>
      <c r="CZ1176">
        <v>0</v>
      </c>
      <c r="DA1176">
        <v>1</v>
      </c>
      <c r="DB1176">
        <v>0</v>
      </c>
      <c r="DC1176">
        <v>0</v>
      </c>
      <c r="DD1176">
        <v>1</v>
      </c>
      <c r="DE1176">
        <v>0</v>
      </c>
      <c r="DF1176">
        <v>0</v>
      </c>
      <c r="DG1176">
        <v>0</v>
      </c>
      <c r="DH1176">
        <v>0</v>
      </c>
      <c r="DI1176">
        <v>0</v>
      </c>
    </row>
    <row r="1177" spans="1:113" x14ac:dyDescent="0.3">
      <c r="A1177" t="str">
        <f>"09/28/2021 14:00:18.134"</f>
        <v>09/28/2021 14:00:18.134</v>
      </c>
      <c r="C1177" t="str">
        <f t="shared" si="56"/>
        <v>FFDFD3C0</v>
      </c>
      <c r="D1177" t="s">
        <v>113</v>
      </c>
      <c r="E1177">
        <v>7</v>
      </c>
      <c r="H1177">
        <v>170</v>
      </c>
      <c r="I1177" t="s">
        <v>114</v>
      </c>
      <c r="J1177" t="s">
        <v>115</v>
      </c>
      <c r="K1177">
        <v>0</v>
      </c>
      <c r="L1177">
        <v>3</v>
      </c>
      <c r="M1177">
        <v>0</v>
      </c>
      <c r="N1177">
        <v>2</v>
      </c>
      <c r="O1177">
        <v>1</v>
      </c>
      <c r="P1177">
        <v>0</v>
      </c>
      <c r="Q1177">
        <v>0</v>
      </c>
      <c r="S1177" t="str">
        <f>"14:00:17.938"</f>
        <v>14:00:17.938</v>
      </c>
      <c r="T1177" t="str">
        <f>"14:00:17.538"</f>
        <v>14:00:17.538</v>
      </c>
      <c r="U1177" t="str">
        <f t="shared" si="58"/>
        <v>A92BC1</v>
      </c>
      <c r="V1177">
        <v>0</v>
      </c>
      <c r="W1177">
        <v>0</v>
      </c>
      <c r="X1177">
        <v>2</v>
      </c>
      <c r="Z1177">
        <v>0</v>
      </c>
      <c r="AA1177">
        <v>9</v>
      </c>
      <c r="AB1177">
        <v>3</v>
      </c>
      <c r="AC1177">
        <v>0</v>
      </c>
      <c r="AD1177">
        <v>10</v>
      </c>
      <c r="AE1177">
        <v>0</v>
      </c>
      <c r="AF1177">
        <v>3</v>
      </c>
      <c r="AG1177">
        <v>2</v>
      </c>
      <c r="AH1177">
        <v>0</v>
      </c>
      <c r="AI1177" t="s">
        <v>1278</v>
      </c>
      <c r="AJ1177">
        <v>45.919975999999998</v>
      </c>
      <c r="AK1177" t="s">
        <v>1279</v>
      </c>
      <c r="AL1177">
        <v>-89.044983000000002</v>
      </c>
      <c r="AM1177">
        <v>100</v>
      </c>
      <c r="AN1177">
        <v>15300</v>
      </c>
      <c r="AO1177" t="s">
        <v>118</v>
      </c>
      <c r="AP1177">
        <v>89</v>
      </c>
      <c r="AQ1177">
        <v>65</v>
      </c>
      <c r="AR1177">
        <v>-1280</v>
      </c>
      <c r="AZ1177">
        <v>1200</v>
      </c>
      <c r="BA1177">
        <v>1</v>
      </c>
      <c r="BB1177" t="str">
        <f t="shared" si="57"/>
        <v xml:space="preserve">N690LS  </v>
      </c>
      <c r="BC1177">
        <v>1</v>
      </c>
      <c r="BE1177">
        <v>0</v>
      </c>
      <c r="BF1177">
        <v>0</v>
      </c>
      <c r="BG1177">
        <v>0</v>
      </c>
      <c r="BH1177">
        <v>15850</v>
      </c>
      <c r="BI1177">
        <v>1</v>
      </c>
      <c r="BJ1177">
        <v>1</v>
      </c>
      <c r="BK1177">
        <v>1</v>
      </c>
      <c r="BL1177">
        <v>0</v>
      </c>
      <c r="BO1177">
        <v>0</v>
      </c>
      <c r="BP1177">
        <v>0</v>
      </c>
      <c r="BW1177" t="str">
        <f>"14:00:17.944"</f>
        <v>14:00:17.944</v>
      </c>
      <c r="CJ1177">
        <v>0</v>
      </c>
      <c r="CK1177">
        <v>2</v>
      </c>
      <c r="CL1177">
        <v>0</v>
      </c>
      <c r="CM1177">
        <v>2</v>
      </c>
      <c r="CN1177">
        <v>0</v>
      </c>
      <c r="CO1177">
        <v>7</v>
      </c>
      <c r="CP1177" t="s">
        <v>119</v>
      </c>
      <c r="CQ1177">
        <v>197</v>
      </c>
      <c r="CR1177">
        <v>0</v>
      </c>
      <c r="CW1177">
        <v>16110647</v>
      </c>
      <c r="CY1177">
        <v>1</v>
      </c>
      <c r="CZ1177">
        <v>0</v>
      </c>
      <c r="DA1177">
        <v>0</v>
      </c>
      <c r="DB1177">
        <v>0</v>
      </c>
      <c r="DC1177">
        <v>0</v>
      </c>
      <c r="DD1177">
        <v>1</v>
      </c>
      <c r="DE1177">
        <v>0</v>
      </c>
      <c r="DF1177">
        <v>0</v>
      </c>
      <c r="DG1177">
        <v>0</v>
      </c>
      <c r="DH1177">
        <v>0</v>
      </c>
      <c r="DI1177">
        <v>0</v>
      </c>
    </row>
    <row r="1178" spans="1:113" x14ac:dyDescent="0.3">
      <c r="A1178" t="str">
        <f>"09/28/2021 14:00:18.181"</f>
        <v>09/28/2021 14:00:18.181</v>
      </c>
      <c r="C1178" t="str">
        <f t="shared" si="56"/>
        <v>FFDFD3C0</v>
      </c>
      <c r="D1178" t="s">
        <v>120</v>
      </c>
      <c r="E1178">
        <v>12</v>
      </c>
      <c r="F1178">
        <v>1012</v>
      </c>
      <c r="G1178" t="s">
        <v>114</v>
      </c>
      <c r="J1178" t="s">
        <v>121</v>
      </c>
      <c r="K1178">
        <v>0</v>
      </c>
      <c r="L1178">
        <v>3</v>
      </c>
      <c r="M1178">
        <v>0</v>
      </c>
      <c r="N1178">
        <v>2</v>
      </c>
      <c r="O1178">
        <v>1</v>
      </c>
      <c r="P1178">
        <v>0</v>
      </c>
      <c r="Q1178">
        <v>0</v>
      </c>
      <c r="S1178" t="str">
        <f>"14:00:17.938"</f>
        <v>14:00:17.938</v>
      </c>
      <c r="T1178" t="str">
        <f>"14:00:17.538"</f>
        <v>14:00:17.538</v>
      </c>
      <c r="U1178" t="str">
        <f t="shared" si="58"/>
        <v>A92BC1</v>
      </c>
      <c r="V1178">
        <v>0</v>
      </c>
      <c r="W1178">
        <v>0</v>
      </c>
      <c r="X1178">
        <v>2</v>
      </c>
      <c r="Z1178">
        <v>0</v>
      </c>
      <c r="AA1178">
        <v>9</v>
      </c>
      <c r="AB1178">
        <v>3</v>
      </c>
      <c r="AC1178">
        <v>0</v>
      </c>
      <c r="AD1178">
        <v>10</v>
      </c>
      <c r="AE1178">
        <v>0</v>
      </c>
      <c r="AF1178">
        <v>3</v>
      </c>
      <c r="AG1178">
        <v>2</v>
      </c>
      <c r="AH1178">
        <v>0</v>
      </c>
      <c r="AI1178" t="s">
        <v>1278</v>
      </c>
      <c r="AJ1178">
        <v>45.919975999999998</v>
      </c>
      <c r="AK1178" t="s">
        <v>1279</v>
      </c>
      <c r="AL1178">
        <v>-89.044983000000002</v>
      </c>
      <c r="AM1178">
        <v>100</v>
      </c>
      <c r="AN1178">
        <v>15300</v>
      </c>
      <c r="AO1178" t="s">
        <v>118</v>
      </c>
      <c r="AP1178">
        <v>89</v>
      </c>
      <c r="AQ1178">
        <v>65</v>
      </c>
      <c r="AR1178">
        <v>-1280</v>
      </c>
      <c r="AZ1178">
        <v>1200</v>
      </c>
      <c r="BA1178">
        <v>1</v>
      </c>
      <c r="BB1178" t="str">
        <f t="shared" si="57"/>
        <v xml:space="preserve">N690LS  </v>
      </c>
      <c r="BC1178">
        <v>1</v>
      </c>
      <c r="BE1178">
        <v>0</v>
      </c>
      <c r="BF1178">
        <v>0</v>
      </c>
      <c r="BG1178">
        <v>0</v>
      </c>
      <c r="BH1178">
        <v>15850</v>
      </c>
      <c r="BI1178">
        <v>1</v>
      </c>
      <c r="BJ1178">
        <v>1</v>
      </c>
      <c r="BK1178">
        <v>1</v>
      </c>
      <c r="BL1178">
        <v>0</v>
      </c>
      <c r="BO1178">
        <v>0</v>
      </c>
      <c r="BP1178">
        <v>0</v>
      </c>
      <c r="BW1178" t="str">
        <f>"14:00:17.944"</f>
        <v>14:00:17.944</v>
      </c>
      <c r="CJ1178">
        <v>0</v>
      </c>
      <c r="CK1178">
        <v>2</v>
      </c>
      <c r="CL1178">
        <v>0</v>
      </c>
      <c r="CM1178">
        <v>2</v>
      </c>
      <c r="CN1178">
        <v>0</v>
      </c>
      <c r="CO1178">
        <v>7</v>
      </c>
      <c r="CP1178" t="s">
        <v>119</v>
      </c>
      <c r="CQ1178">
        <v>197</v>
      </c>
      <c r="CR1178">
        <v>0</v>
      </c>
      <c r="CW1178">
        <v>16110647</v>
      </c>
      <c r="CY1178">
        <v>1</v>
      </c>
      <c r="CZ1178">
        <v>0</v>
      </c>
      <c r="DA1178">
        <v>1</v>
      </c>
      <c r="DB1178">
        <v>0</v>
      </c>
      <c r="DC1178">
        <v>0</v>
      </c>
      <c r="DD1178">
        <v>1</v>
      </c>
      <c r="DE1178">
        <v>0</v>
      </c>
      <c r="DF1178">
        <v>0</v>
      </c>
      <c r="DG1178">
        <v>0</v>
      </c>
      <c r="DH1178">
        <v>0</v>
      </c>
      <c r="DI1178">
        <v>0</v>
      </c>
    </row>
    <row r="1179" spans="1:113" x14ac:dyDescent="0.3">
      <c r="A1179" t="str">
        <f>"09/28/2021 14:00:19.290"</f>
        <v>09/28/2021 14:00:19.290</v>
      </c>
      <c r="C1179" t="str">
        <f t="shared" si="56"/>
        <v>FFDFD3C0</v>
      </c>
      <c r="D1179" t="s">
        <v>120</v>
      </c>
      <c r="E1179">
        <v>12</v>
      </c>
      <c r="F1179">
        <v>1012</v>
      </c>
      <c r="G1179" t="s">
        <v>114</v>
      </c>
      <c r="J1179" t="s">
        <v>121</v>
      </c>
      <c r="K1179">
        <v>0</v>
      </c>
      <c r="L1179">
        <v>3</v>
      </c>
      <c r="M1179">
        <v>0</v>
      </c>
      <c r="N1179">
        <v>2</v>
      </c>
      <c r="O1179">
        <v>1</v>
      </c>
      <c r="P1179">
        <v>0</v>
      </c>
      <c r="Q1179">
        <v>0</v>
      </c>
      <c r="S1179" t="str">
        <f>"14:00:19.023"</f>
        <v>14:00:19.023</v>
      </c>
      <c r="T1179" t="str">
        <f>"14:00:18.523"</f>
        <v>14:00:18.523</v>
      </c>
      <c r="U1179" t="str">
        <f t="shared" si="58"/>
        <v>A92BC1</v>
      </c>
      <c r="V1179">
        <v>0</v>
      </c>
      <c r="W1179">
        <v>0</v>
      </c>
      <c r="X1179">
        <v>2</v>
      </c>
      <c r="Z1179">
        <v>0</v>
      </c>
      <c r="AA1179">
        <v>9</v>
      </c>
      <c r="AB1179">
        <v>3</v>
      </c>
      <c r="AC1179">
        <v>0</v>
      </c>
      <c r="AD1179">
        <v>10</v>
      </c>
      <c r="AE1179">
        <v>0</v>
      </c>
      <c r="AF1179">
        <v>3</v>
      </c>
      <c r="AG1179">
        <v>2</v>
      </c>
      <c r="AH1179">
        <v>0</v>
      </c>
      <c r="AI1179" t="s">
        <v>1280</v>
      </c>
      <c r="AJ1179">
        <v>45.920298000000003</v>
      </c>
      <c r="AK1179" t="s">
        <v>1281</v>
      </c>
      <c r="AL1179">
        <v>-89.044382999999996</v>
      </c>
      <c r="AM1179">
        <v>100</v>
      </c>
      <c r="AN1179">
        <v>15300</v>
      </c>
      <c r="AO1179" t="s">
        <v>118</v>
      </c>
      <c r="AP1179">
        <v>89</v>
      </c>
      <c r="AQ1179">
        <v>65</v>
      </c>
      <c r="AR1179">
        <v>-1344</v>
      </c>
      <c r="AZ1179">
        <v>1200</v>
      </c>
      <c r="BA1179">
        <v>1</v>
      </c>
      <c r="BB1179" t="str">
        <f t="shared" si="57"/>
        <v xml:space="preserve">N690LS  </v>
      </c>
      <c r="BC1179">
        <v>1</v>
      </c>
      <c r="BE1179">
        <v>0</v>
      </c>
      <c r="BF1179">
        <v>0</v>
      </c>
      <c r="BG1179">
        <v>0</v>
      </c>
      <c r="BH1179">
        <v>15825</v>
      </c>
      <c r="BI1179">
        <v>1</v>
      </c>
      <c r="BJ1179">
        <v>1</v>
      </c>
      <c r="BK1179">
        <v>1</v>
      </c>
      <c r="BL1179">
        <v>0</v>
      </c>
      <c r="BO1179">
        <v>0</v>
      </c>
      <c r="BP1179">
        <v>0</v>
      </c>
      <c r="BW1179" t="str">
        <f>"14:00:19.025"</f>
        <v>14:00:19.025</v>
      </c>
      <c r="CJ1179">
        <v>0</v>
      </c>
      <c r="CK1179">
        <v>2</v>
      </c>
      <c r="CL1179">
        <v>0</v>
      </c>
      <c r="CM1179">
        <v>2</v>
      </c>
      <c r="CN1179">
        <v>0</v>
      </c>
      <c r="CO1179">
        <v>7</v>
      </c>
      <c r="CP1179" t="s">
        <v>119</v>
      </c>
      <c r="CQ1179">
        <v>209</v>
      </c>
      <c r="CR1179">
        <v>3</v>
      </c>
      <c r="CW1179">
        <v>7297504</v>
      </c>
      <c r="CY1179">
        <v>1</v>
      </c>
      <c r="CZ1179">
        <v>0</v>
      </c>
      <c r="DA1179">
        <v>0</v>
      </c>
      <c r="DB1179">
        <v>0</v>
      </c>
      <c r="DC1179">
        <v>0</v>
      </c>
      <c r="DD1179">
        <v>1</v>
      </c>
      <c r="DE1179">
        <v>0</v>
      </c>
      <c r="DF1179">
        <v>0</v>
      </c>
      <c r="DG1179">
        <v>0</v>
      </c>
      <c r="DH1179">
        <v>0</v>
      </c>
      <c r="DI1179">
        <v>0</v>
      </c>
    </row>
    <row r="1180" spans="1:113" x14ac:dyDescent="0.3">
      <c r="A1180" t="str">
        <f>"09/28/2021 14:00:19.290"</f>
        <v>09/28/2021 14:00:19.290</v>
      </c>
      <c r="C1180" t="str">
        <f t="shared" si="56"/>
        <v>FFDFD3C0</v>
      </c>
      <c r="D1180" t="s">
        <v>113</v>
      </c>
      <c r="E1180">
        <v>7</v>
      </c>
      <c r="H1180">
        <v>170</v>
      </c>
      <c r="I1180" t="s">
        <v>114</v>
      </c>
      <c r="J1180" t="s">
        <v>115</v>
      </c>
      <c r="K1180">
        <v>0</v>
      </c>
      <c r="L1180">
        <v>3</v>
      </c>
      <c r="M1180">
        <v>0</v>
      </c>
      <c r="N1180">
        <v>2</v>
      </c>
      <c r="O1180">
        <v>1</v>
      </c>
      <c r="P1180">
        <v>0</v>
      </c>
      <c r="Q1180">
        <v>0</v>
      </c>
      <c r="S1180" t="str">
        <f>"14:00:19.023"</f>
        <v>14:00:19.023</v>
      </c>
      <c r="T1180" t="str">
        <f>"14:00:18.523"</f>
        <v>14:00:18.523</v>
      </c>
      <c r="U1180" t="str">
        <f t="shared" si="58"/>
        <v>A92BC1</v>
      </c>
      <c r="V1180">
        <v>0</v>
      </c>
      <c r="W1180">
        <v>0</v>
      </c>
      <c r="X1180">
        <v>2</v>
      </c>
      <c r="Z1180">
        <v>0</v>
      </c>
      <c r="AA1180">
        <v>9</v>
      </c>
      <c r="AB1180">
        <v>3</v>
      </c>
      <c r="AC1180">
        <v>0</v>
      </c>
      <c r="AD1180">
        <v>10</v>
      </c>
      <c r="AE1180">
        <v>0</v>
      </c>
      <c r="AF1180">
        <v>3</v>
      </c>
      <c r="AG1180">
        <v>2</v>
      </c>
      <c r="AH1180">
        <v>0</v>
      </c>
      <c r="AI1180" t="s">
        <v>1280</v>
      </c>
      <c r="AJ1180">
        <v>45.920298000000003</v>
      </c>
      <c r="AK1180" t="s">
        <v>1281</v>
      </c>
      <c r="AL1180">
        <v>-89.044382999999996</v>
      </c>
      <c r="AM1180">
        <v>100</v>
      </c>
      <c r="AN1180">
        <v>15300</v>
      </c>
      <c r="AO1180" t="s">
        <v>118</v>
      </c>
      <c r="AP1180">
        <v>89</v>
      </c>
      <c r="AQ1180">
        <v>65</v>
      </c>
      <c r="AR1180">
        <v>-1344</v>
      </c>
      <c r="AZ1180">
        <v>1200</v>
      </c>
      <c r="BA1180">
        <v>1</v>
      </c>
      <c r="BB1180" t="str">
        <f t="shared" si="57"/>
        <v xml:space="preserve">N690LS  </v>
      </c>
      <c r="BC1180">
        <v>1</v>
      </c>
      <c r="BE1180">
        <v>0</v>
      </c>
      <c r="BF1180">
        <v>0</v>
      </c>
      <c r="BG1180">
        <v>0</v>
      </c>
      <c r="BH1180">
        <v>15825</v>
      </c>
      <c r="BI1180">
        <v>1</v>
      </c>
      <c r="BJ1180">
        <v>1</v>
      </c>
      <c r="BK1180">
        <v>1</v>
      </c>
      <c r="BL1180">
        <v>0</v>
      </c>
      <c r="BO1180">
        <v>0</v>
      </c>
      <c r="BP1180">
        <v>0</v>
      </c>
      <c r="BW1180" t="str">
        <f>"14:00:19.025"</f>
        <v>14:00:19.025</v>
      </c>
      <c r="CJ1180">
        <v>0</v>
      </c>
      <c r="CK1180">
        <v>2</v>
      </c>
      <c r="CL1180">
        <v>0</v>
      </c>
      <c r="CM1180">
        <v>2</v>
      </c>
      <c r="CN1180">
        <v>0</v>
      </c>
      <c r="CO1180">
        <v>7</v>
      </c>
      <c r="CP1180" t="s">
        <v>119</v>
      </c>
      <c r="CQ1180">
        <v>209</v>
      </c>
      <c r="CR1180">
        <v>3</v>
      </c>
      <c r="CW1180">
        <v>7297504</v>
      </c>
      <c r="CY1180">
        <v>1</v>
      </c>
      <c r="CZ1180">
        <v>0</v>
      </c>
      <c r="DA1180">
        <v>1</v>
      </c>
      <c r="DB1180">
        <v>0</v>
      </c>
      <c r="DC1180">
        <v>0</v>
      </c>
      <c r="DD1180">
        <v>1</v>
      </c>
      <c r="DE1180">
        <v>0</v>
      </c>
      <c r="DF1180">
        <v>0</v>
      </c>
      <c r="DG1180">
        <v>0</v>
      </c>
      <c r="DH1180">
        <v>0</v>
      </c>
      <c r="DI1180">
        <v>0</v>
      </c>
    </row>
    <row r="1181" spans="1:113" x14ac:dyDescent="0.3">
      <c r="A1181" t="str">
        <f>"09/28/2021 14:00:20.213"</f>
        <v>09/28/2021 14:00:20.213</v>
      </c>
      <c r="C1181" t="str">
        <f t="shared" si="56"/>
        <v>FFDFD3C0</v>
      </c>
      <c r="D1181" t="s">
        <v>120</v>
      </c>
      <c r="E1181">
        <v>12</v>
      </c>
      <c r="F1181">
        <v>1012</v>
      </c>
      <c r="G1181" t="s">
        <v>114</v>
      </c>
      <c r="J1181" t="s">
        <v>121</v>
      </c>
      <c r="K1181">
        <v>0</v>
      </c>
      <c r="L1181">
        <v>3</v>
      </c>
      <c r="M1181">
        <v>0</v>
      </c>
      <c r="N1181">
        <v>2</v>
      </c>
      <c r="O1181">
        <v>1</v>
      </c>
      <c r="P1181">
        <v>0</v>
      </c>
      <c r="Q1181">
        <v>0</v>
      </c>
      <c r="S1181" t="str">
        <f>"14:00:19.953"</f>
        <v>14:00:19.953</v>
      </c>
      <c r="T1181" t="str">
        <f>"14:00:19.553"</f>
        <v>14:00:19.553</v>
      </c>
      <c r="U1181" t="str">
        <f t="shared" si="58"/>
        <v>A92BC1</v>
      </c>
      <c r="V1181">
        <v>0</v>
      </c>
      <c r="W1181">
        <v>0</v>
      </c>
      <c r="X1181">
        <v>2</v>
      </c>
      <c r="Z1181">
        <v>0</v>
      </c>
      <c r="AA1181">
        <v>9</v>
      </c>
      <c r="AB1181">
        <v>3</v>
      </c>
      <c r="AC1181">
        <v>0</v>
      </c>
      <c r="AD1181">
        <v>10</v>
      </c>
      <c r="AE1181">
        <v>0</v>
      </c>
      <c r="AF1181">
        <v>3</v>
      </c>
      <c r="AG1181">
        <v>2</v>
      </c>
      <c r="AH1181">
        <v>0</v>
      </c>
      <c r="AI1181" t="s">
        <v>1282</v>
      </c>
      <c r="AJ1181">
        <v>45.920555999999998</v>
      </c>
      <c r="AK1181" t="s">
        <v>1283</v>
      </c>
      <c r="AL1181">
        <v>-89.043781999999993</v>
      </c>
      <c r="AM1181">
        <v>100</v>
      </c>
      <c r="AN1181">
        <v>15300</v>
      </c>
      <c r="AO1181" t="s">
        <v>118</v>
      </c>
      <c r="AP1181">
        <v>90</v>
      </c>
      <c r="AQ1181">
        <v>65</v>
      </c>
      <c r="AR1181">
        <v>-1408</v>
      </c>
      <c r="AZ1181">
        <v>1200</v>
      </c>
      <c r="BA1181">
        <v>1</v>
      </c>
      <c r="BB1181" t="str">
        <f t="shared" si="57"/>
        <v xml:space="preserve">N690LS  </v>
      </c>
      <c r="BC1181">
        <v>1</v>
      </c>
      <c r="BE1181">
        <v>0</v>
      </c>
      <c r="BF1181">
        <v>0</v>
      </c>
      <c r="BG1181">
        <v>0</v>
      </c>
      <c r="BH1181">
        <v>15800</v>
      </c>
      <c r="BI1181">
        <v>1</v>
      </c>
      <c r="BJ1181">
        <v>1</v>
      </c>
      <c r="BK1181">
        <v>1</v>
      </c>
      <c r="BL1181">
        <v>0</v>
      </c>
      <c r="BO1181">
        <v>0</v>
      </c>
      <c r="BP1181">
        <v>0</v>
      </c>
      <c r="BW1181" t="str">
        <f>"14:00:19.956"</f>
        <v>14:00:19.956</v>
      </c>
      <c r="CJ1181">
        <v>0</v>
      </c>
      <c r="CK1181">
        <v>2</v>
      </c>
      <c r="CL1181">
        <v>0</v>
      </c>
      <c r="CM1181">
        <v>2</v>
      </c>
      <c r="CN1181">
        <v>0</v>
      </c>
      <c r="CO1181">
        <v>7</v>
      </c>
      <c r="CP1181" t="s">
        <v>119</v>
      </c>
      <c r="CQ1181">
        <v>209</v>
      </c>
      <c r="CR1181">
        <v>3</v>
      </c>
      <c r="CW1181">
        <v>7297831</v>
      </c>
      <c r="CY1181">
        <v>1</v>
      </c>
      <c r="CZ1181">
        <v>0</v>
      </c>
      <c r="DA1181">
        <v>0</v>
      </c>
      <c r="DB1181">
        <v>0</v>
      </c>
      <c r="DC1181">
        <v>0</v>
      </c>
      <c r="DD1181">
        <v>1</v>
      </c>
      <c r="DE1181">
        <v>0</v>
      </c>
      <c r="DF1181">
        <v>0</v>
      </c>
      <c r="DG1181">
        <v>0</v>
      </c>
      <c r="DH1181">
        <v>0</v>
      </c>
      <c r="DI1181">
        <v>0</v>
      </c>
    </row>
    <row r="1182" spans="1:113" x14ac:dyDescent="0.3">
      <c r="A1182" t="str">
        <f>"09/28/2021 14:00:20.213"</f>
        <v>09/28/2021 14:00:20.213</v>
      </c>
      <c r="C1182" t="str">
        <f t="shared" si="56"/>
        <v>FFDFD3C0</v>
      </c>
      <c r="D1182" t="s">
        <v>113</v>
      </c>
      <c r="E1182">
        <v>7</v>
      </c>
      <c r="H1182">
        <v>170</v>
      </c>
      <c r="I1182" t="s">
        <v>114</v>
      </c>
      <c r="J1182" t="s">
        <v>115</v>
      </c>
      <c r="K1182">
        <v>0</v>
      </c>
      <c r="L1182">
        <v>3</v>
      </c>
      <c r="M1182">
        <v>0</v>
      </c>
      <c r="N1182">
        <v>2</v>
      </c>
      <c r="O1182">
        <v>1</v>
      </c>
      <c r="P1182">
        <v>0</v>
      </c>
      <c r="Q1182">
        <v>0</v>
      </c>
      <c r="S1182" t="str">
        <f>"14:00:19.953"</f>
        <v>14:00:19.953</v>
      </c>
      <c r="T1182" t="str">
        <f>"14:00:19.553"</f>
        <v>14:00:19.553</v>
      </c>
      <c r="U1182" t="str">
        <f t="shared" si="58"/>
        <v>A92BC1</v>
      </c>
      <c r="V1182">
        <v>0</v>
      </c>
      <c r="W1182">
        <v>0</v>
      </c>
      <c r="X1182">
        <v>2</v>
      </c>
      <c r="Z1182">
        <v>0</v>
      </c>
      <c r="AA1182">
        <v>9</v>
      </c>
      <c r="AB1182">
        <v>3</v>
      </c>
      <c r="AC1182">
        <v>0</v>
      </c>
      <c r="AD1182">
        <v>10</v>
      </c>
      <c r="AE1182">
        <v>0</v>
      </c>
      <c r="AF1182">
        <v>3</v>
      </c>
      <c r="AG1182">
        <v>2</v>
      </c>
      <c r="AH1182">
        <v>0</v>
      </c>
      <c r="AI1182" t="s">
        <v>1282</v>
      </c>
      <c r="AJ1182">
        <v>45.920555999999998</v>
      </c>
      <c r="AK1182" t="s">
        <v>1283</v>
      </c>
      <c r="AL1182">
        <v>-89.043781999999993</v>
      </c>
      <c r="AM1182">
        <v>100</v>
      </c>
      <c r="AN1182">
        <v>15300</v>
      </c>
      <c r="AO1182" t="s">
        <v>118</v>
      </c>
      <c r="AP1182">
        <v>90</v>
      </c>
      <c r="AQ1182">
        <v>65</v>
      </c>
      <c r="AR1182">
        <v>-1408</v>
      </c>
      <c r="AZ1182">
        <v>1200</v>
      </c>
      <c r="BA1182">
        <v>1</v>
      </c>
      <c r="BB1182" t="str">
        <f t="shared" si="57"/>
        <v xml:space="preserve">N690LS  </v>
      </c>
      <c r="BC1182">
        <v>1</v>
      </c>
      <c r="BE1182">
        <v>0</v>
      </c>
      <c r="BF1182">
        <v>0</v>
      </c>
      <c r="BG1182">
        <v>0</v>
      </c>
      <c r="BH1182">
        <v>15800</v>
      </c>
      <c r="BI1182">
        <v>1</v>
      </c>
      <c r="BJ1182">
        <v>1</v>
      </c>
      <c r="BK1182">
        <v>1</v>
      </c>
      <c r="BL1182">
        <v>0</v>
      </c>
      <c r="BO1182">
        <v>0</v>
      </c>
      <c r="BP1182">
        <v>0</v>
      </c>
      <c r="BW1182" t="str">
        <f>"14:00:19.956"</f>
        <v>14:00:19.956</v>
      </c>
      <c r="CJ1182">
        <v>0</v>
      </c>
      <c r="CK1182">
        <v>2</v>
      </c>
      <c r="CL1182">
        <v>0</v>
      </c>
      <c r="CM1182">
        <v>2</v>
      </c>
      <c r="CN1182">
        <v>0</v>
      </c>
      <c r="CO1182">
        <v>7</v>
      </c>
      <c r="CP1182" t="s">
        <v>119</v>
      </c>
      <c r="CQ1182">
        <v>209</v>
      </c>
      <c r="CR1182">
        <v>3</v>
      </c>
      <c r="CW1182">
        <v>7297831</v>
      </c>
      <c r="CY1182">
        <v>1</v>
      </c>
      <c r="CZ1182">
        <v>0</v>
      </c>
      <c r="DA1182">
        <v>1</v>
      </c>
      <c r="DB1182">
        <v>0</v>
      </c>
      <c r="DC1182">
        <v>0</v>
      </c>
      <c r="DD1182">
        <v>1</v>
      </c>
      <c r="DE1182">
        <v>0</v>
      </c>
      <c r="DF1182">
        <v>0</v>
      </c>
      <c r="DG1182">
        <v>0</v>
      </c>
      <c r="DH1182">
        <v>0</v>
      </c>
      <c r="DI1182">
        <v>0</v>
      </c>
    </row>
    <row r="1183" spans="1:113" x14ac:dyDescent="0.3">
      <c r="A1183" t="str">
        <f>"09/28/2021 14:00:21.245"</f>
        <v>09/28/2021 14:00:21.245</v>
      </c>
      <c r="C1183" t="str">
        <f t="shared" si="56"/>
        <v>FFDFD3C0</v>
      </c>
      <c r="D1183" t="s">
        <v>120</v>
      </c>
      <c r="E1183">
        <v>12</v>
      </c>
      <c r="F1183">
        <v>1012</v>
      </c>
      <c r="G1183" t="s">
        <v>114</v>
      </c>
      <c r="J1183" t="s">
        <v>121</v>
      </c>
      <c r="K1183">
        <v>0</v>
      </c>
      <c r="L1183">
        <v>3</v>
      </c>
      <c r="M1183">
        <v>0</v>
      </c>
      <c r="N1183">
        <v>2</v>
      </c>
      <c r="O1183">
        <v>1</v>
      </c>
      <c r="P1183">
        <v>0</v>
      </c>
      <c r="Q1183">
        <v>0</v>
      </c>
      <c r="S1183" t="str">
        <f>"14:00:21.063"</f>
        <v>14:00:21.063</v>
      </c>
      <c r="T1183" t="str">
        <f>"14:00:20.563"</f>
        <v>14:00:20.563</v>
      </c>
      <c r="U1183" t="str">
        <f t="shared" si="58"/>
        <v>A92BC1</v>
      </c>
      <c r="V1183">
        <v>0</v>
      </c>
      <c r="W1183">
        <v>0</v>
      </c>
      <c r="X1183">
        <v>2</v>
      </c>
      <c r="Z1183">
        <v>0</v>
      </c>
      <c r="AA1183">
        <v>9</v>
      </c>
      <c r="AB1183">
        <v>3</v>
      </c>
      <c r="AC1183">
        <v>0</v>
      </c>
      <c r="AD1183">
        <v>10</v>
      </c>
      <c r="AE1183">
        <v>0</v>
      </c>
      <c r="AF1183">
        <v>3</v>
      </c>
      <c r="AG1183">
        <v>2</v>
      </c>
      <c r="AH1183">
        <v>0</v>
      </c>
      <c r="AI1183" t="s">
        <v>1284</v>
      </c>
      <c r="AJ1183">
        <v>45.920898999999999</v>
      </c>
      <c r="AK1183" t="s">
        <v>1285</v>
      </c>
      <c r="AL1183">
        <v>-89.043159000000003</v>
      </c>
      <c r="AM1183">
        <v>100</v>
      </c>
      <c r="AN1183">
        <v>15200</v>
      </c>
      <c r="AO1183" t="s">
        <v>118</v>
      </c>
      <c r="AP1183">
        <v>90</v>
      </c>
      <c r="AQ1183">
        <v>65</v>
      </c>
      <c r="AR1183">
        <v>-1344</v>
      </c>
      <c r="AZ1183">
        <v>1200</v>
      </c>
      <c r="BA1183">
        <v>1</v>
      </c>
      <c r="BB1183" t="str">
        <f t="shared" si="57"/>
        <v xml:space="preserve">N690LS  </v>
      </c>
      <c r="BC1183">
        <v>1</v>
      </c>
      <c r="BE1183">
        <v>0</v>
      </c>
      <c r="BF1183">
        <v>0</v>
      </c>
      <c r="BG1183">
        <v>0</v>
      </c>
      <c r="BH1183">
        <v>15775</v>
      </c>
      <c r="BI1183">
        <v>1</v>
      </c>
      <c r="BJ1183">
        <v>1</v>
      </c>
      <c r="BK1183">
        <v>1</v>
      </c>
      <c r="BL1183">
        <v>0</v>
      </c>
      <c r="BO1183">
        <v>0</v>
      </c>
      <c r="BP1183">
        <v>0</v>
      </c>
      <c r="BW1183" t="str">
        <f>"14:00:21.065"</f>
        <v>14:00:21.065</v>
      </c>
      <c r="CJ1183">
        <v>0</v>
      </c>
      <c r="CK1183">
        <v>2</v>
      </c>
      <c r="CL1183">
        <v>0</v>
      </c>
      <c r="CM1183">
        <v>2</v>
      </c>
      <c r="CN1183">
        <v>0</v>
      </c>
      <c r="CO1183">
        <v>7</v>
      </c>
      <c r="CP1183" t="s">
        <v>119</v>
      </c>
      <c r="CQ1183">
        <v>209</v>
      </c>
      <c r="CR1183">
        <v>3</v>
      </c>
      <c r="CW1183">
        <v>7298229</v>
      </c>
      <c r="CY1183">
        <v>1</v>
      </c>
      <c r="CZ1183">
        <v>0</v>
      </c>
      <c r="DA1183">
        <v>0</v>
      </c>
      <c r="DB1183">
        <v>0</v>
      </c>
      <c r="DC1183">
        <v>0</v>
      </c>
      <c r="DD1183">
        <v>1</v>
      </c>
      <c r="DE1183">
        <v>0</v>
      </c>
      <c r="DF1183">
        <v>0</v>
      </c>
      <c r="DG1183">
        <v>0</v>
      </c>
      <c r="DH1183">
        <v>0</v>
      </c>
      <c r="DI1183">
        <v>0</v>
      </c>
    </row>
    <row r="1184" spans="1:113" x14ac:dyDescent="0.3">
      <c r="A1184" t="str">
        <f>"09/28/2021 14:00:21.291"</f>
        <v>09/28/2021 14:00:21.291</v>
      </c>
      <c r="C1184" t="str">
        <f t="shared" si="56"/>
        <v>FFDFD3C0</v>
      </c>
      <c r="D1184" t="s">
        <v>113</v>
      </c>
      <c r="E1184">
        <v>7</v>
      </c>
      <c r="H1184">
        <v>170</v>
      </c>
      <c r="I1184" t="s">
        <v>114</v>
      </c>
      <c r="J1184" t="s">
        <v>115</v>
      </c>
      <c r="K1184">
        <v>0</v>
      </c>
      <c r="L1184">
        <v>3</v>
      </c>
      <c r="M1184">
        <v>0</v>
      </c>
      <c r="N1184">
        <v>2</v>
      </c>
      <c r="O1184">
        <v>1</v>
      </c>
      <c r="P1184">
        <v>0</v>
      </c>
      <c r="Q1184">
        <v>0</v>
      </c>
      <c r="S1184" t="str">
        <f>"14:00:21.063"</f>
        <v>14:00:21.063</v>
      </c>
      <c r="T1184" t="str">
        <f>"14:00:20.563"</f>
        <v>14:00:20.563</v>
      </c>
      <c r="U1184" t="str">
        <f t="shared" si="58"/>
        <v>A92BC1</v>
      </c>
      <c r="V1184">
        <v>0</v>
      </c>
      <c r="W1184">
        <v>0</v>
      </c>
      <c r="X1184">
        <v>2</v>
      </c>
      <c r="Z1184">
        <v>0</v>
      </c>
      <c r="AA1184">
        <v>9</v>
      </c>
      <c r="AB1184">
        <v>3</v>
      </c>
      <c r="AC1184">
        <v>0</v>
      </c>
      <c r="AD1184">
        <v>10</v>
      </c>
      <c r="AE1184">
        <v>0</v>
      </c>
      <c r="AF1184">
        <v>3</v>
      </c>
      <c r="AG1184">
        <v>2</v>
      </c>
      <c r="AH1184">
        <v>0</v>
      </c>
      <c r="AI1184" t="s">
        <v>1284</v>
      </c>
      <c r="AJ1184">
        <v>45.920898999999999</v>
      </c>
      <c r="AK1184" t="s">
        <v>1285</v>
      </c>
      <c r="AL1184">
        <v>-89.043159000000003</v>
      </c>
      <c r="AM1184">
        <v>100</v>
      </c>
      <c r="AN1184">
        <v>15200</v>
      </c>
      <c r="AO1184" t="s">
        <v>118</v>
      </c>
      <c r="AP1184">
        <v>90</v>
      </c>
      <c r="AQ1184">
        <v>65</v>
      </c>
      <c r="AR1184">
        <v>-1344</v>
      </c>
      <c r="AZ1184">
        <v>1200</v>
      </c>
      <c r="BA1184">
        <v>1</v>
      </c>
      <c r="BB1184" t="str">
        <f t="shared" si="57"/>
        <v xml:space="preserve">N690LS  </v>
      </c>
      <c r="BC1184">
        <v>1</v>
      </c>
      <c r="BE1184">
        <v>0</v>
      </c>
      <c r="BF1184">
        <v>0</v>
      </c>
      <c r="BG1184">
        <v>0</v>
      </c>
      <c r="BH1184">
        <v>15775</v>
      </c>
      <c r="BI1184">
        <v>1</v>
      </c>
      <c r="BJ1184">
        <v>1</v>
      </c>
      <c r="BK1184">
        <v>1</v>
      </c>
      <c r="BL1184">
        <v>0</v>
      </c>
      <c r="BO1184">
        <v>0</v>
      </c>
      <c r="BP1184">
        <v>0</v>
      </c>
      <c r="BW1184" t="str">
        <f>"14:00:21.065"</f>
        <v>14:00:21.065</v>
      </c>
      <c r="CJ1184">
        <v>0</v>
      </c>
      <c r="CK1184">
        <v>2</v>
      </c>
      <c r="CL1184">
        <v>0</v>
      </c>
      <c r="CM1184">
        <v>2</v>
      </c>
      <c r="CN1184">
        <v>0</v>
      </c>
      <c r="CO1184">
        <v>7</v>
      </c>
      <c r="CP1184" t="s">
        <v>119</v>
      </c>
      <c r="CQ1184">
        <v>209</v>
      </c>
      <c r="CR1184">
        <v>3</v>
      </c>
      <c r="CW1184">
        <v>7298229</v>
      </c>
      <c r="CY1184">
        <v>1</v>
      </c>
      <c r="CZ1184">
        <v>0</v>
      </c>
      <c r="DA1184">
        <v>1</v>
      </c>
      <c r="DB1184">
        <v>0</v>
      </c>
      <c r="DC1184">
        <v>0</v>
      </c>
      <c r="DD1184">
        <v>1</v>
      </c>
      <c r="DE1184">
        <v>0</v>
      </c>
      <c r="DF1184">
        <v>0</v>
      </c>
      <c r="DG1184">
        <v>0</v>
      </c>
      <c r="DH1184">
        <v>0</v>
      </c>
      <c r="DI1184">
        <v>0</v>
      </c>
    </row>
    <row r="1185" spans="1:113" x14ac:dyDescent="0.3">
      <c r="A1185" t="str">
        <f>"09/28/2021 14:00:22.309"</f>
        <v>09/28/2021 14:00:22.309</v>
      </c>
      <c r="C1185" t="str">
        <f t="shared" si="56"/>
        <v>FFDFD3C0</v>
      </c>
      <c r="D1185" t="s">
        <v>113</v>
      </c>
      <c r="E1185">
        <v>7</v>
      </c>
      <c r="H1185">
        <v>170</v>
      </c>
      <c r="I1185" t="s">
        <v>114</v>
      </c>
      <c r="J1185" t="s">
        <v>115</v>
      </c>
      <c r="K1185">
        <v>0</v>
      </c>
      <c r="L1185">
        <v>3</v>
      </c>
      <c r="M1185">
        <v>0</v>
      </c>
      <c r="N1185">
        <v>2</v>
      </c>
      <c r="O1185">
        <v>1</v>
      </c>
      <c r="P1185">
        <v>0</v>
      </c>
      <c r="Q1185">
        <v>0</v>
      </c>
      <c r="S1185" t="str">
        <f>"14:00:22.078"</f>
        <v>14:00:22.078</v>
      </c>
      <c r="T1185" t="str">
        <f>"14:00:21.578"</f>
        <v>14:00:21.578</v>
      </c>
      <c r="U1185" t="str">
        <f t="shared" si="58"/>
        <v>A92BC1</v>
      </c>
      <c r="V1185">
        <v>0</v>
      </c>
      <c r="W1185">
        <v>0</v>
      </c>
      <c r="X1185">
        <v>2</v>
      </c>
      <c r="Z1185">
        <v>0</v>
      </c>
      <c r="AA1185">
        <v>9</v>
      </c>
      <c r="AB1185">
        <v>3</v>
      </c>
      <c r="AC1185">
        <v>0</v>
      </c>
      <c r="AD1185">
        <v>10</v>
      </c>
      <c r="AE1185">
        <v>0</v>
      </c>
      <c r="AF1185">
        <v>3</v>
      </c>
      <c r="AG1185">
        <v>2</v>
      </c>
      <c r="AH1185">
        <v>0</v>
      </c>
      <c r="AI1185" t="s">
        <v>1286</v>
      </c>
      <c r="AJ1185">
        <v>45.921221000000003</v>
      </c>
      <c r="AK1185" t="s">
        <v>1287</v>
      </c>
      <c r="AL1185">
        <v>-89.042536999999996</v>
      </c>
      <c r="AM1185">
        <v>100</v>
      </c>
      <c r="AN1185">
        <v>15200</v>
      </c>
      <c r="AO1185" t="s">
        <v>118</v>
      </c>
      <c r="AP1185">
        <v>90</v>
      </c>
      <c r="AQ1185">
        <v>64</v>
      </c>
      <c r="AR1185">
        <v>-1280</v>
      </c>
      <c r="AZ1185">
        <v>1200</v>
      </c>
      <c r="BA1185">
        <v>1</v>
      </c>
      <c r="BB1185" t="str">
        <f t="shared" si="57"/>
        <v xml:space="preserve">N690LS  </v>
      </c>
      <c r="BC1185">
        <v>1</v>
      </c>
      <c r="BE1185">
        <v>0</v>
      </c>
      <c r="BF1185">
        <v>0</v>
      </c>
      <c r="BG1185">
        <v>0</v>
      </c>
      <c r="BH1185">
        <v>15750</v>
      </c>
      <c r="BI1185">
        <v>1</v>
      </c>
      <c r="BJ1185">
        <v>1</v>
      </c>
      <c r="BK1185">
        <v>1</v>
      </c>
      <c r="BL1185">
        <v>0</v>
      </c>
      <c r="BO1185">
        <v>0</v>
      </c>
      <c r="BP1185">
        <v>0</v>
      </c>
      <c r="BW1185" t="str">
        <f>"14:00:22.084"</f>
        <v>14:00:22.084</v>
      </c>
      <c r="CJ1185">
        <v>0</v>
      </c>
      <c r="CK1185">
        <v>2</v>
      </c>
      <c r="CL1185">
        <v>0</v>
      </c>
      <c r="CM1185">
        <v>2</v>
      </c>
      <c r="CN1185">
        <v>0</v>
      </c>
      <c r="CO1185">
        <v>7</v>
      </c>
      <c r="CP1185" t="s">
        <v>119</v>
      </c>
      <c r="CQ1185">
        <v>209</v>
      </c>
      <c r="CR1185">
        <v>3</v>
      </c>
      <c r="CW1185">
        <v>7298619</v>
      </c>
      <c r="CY1185">
        <v>1</v>
      </c>
      <c r="CZ1185">
        <v>0</v>
      </c>
      <c r="DA1185">
        <v>0</v>
      </c>
      <c r="DB1185">
        <v>0</v>
      </c>
      <c r="DC1185">
        <v>0</v>
      </c>
      <c r="DD1185">
        <v>1</v>
      </c>
      <c r="DE1185">
        <v>0</v>
      </c>
      <c r="DF1185">
        <v>0</v>
      </c>
      <c r="DG1185">
        <v>0</v>
      </c>
      <c r="DH1185">
        <v>0</v>
      </c>
      <c r="DI1185">
        <v>0</v>
      </c>
    </row>
    <row r="1186" spans="1:113" x14ac:dyDescent="0.3">
      <c r="A1186" t="str">
        <f>"09/28/2021 14:00:22.309"</f>
        <v>09/28/2021 14:00:22.309</v>
      </c>
      <c r="C1186" t="str">
        <f t="shared" si="56"/>
        <v>FFDFD3C0</v>
      </c>
      <c r="D1186" t="s">
        <v>120</v>
      </c>
      <c r="E1186">
        <v>12</v>
      </c>
      <c r="F1186">
        <v>1012</v>
      </c>
      <c r="G1186" t="s">
        <v>114</v>
      </c>
      <c r="J1186" t="s">
        <v>121</v>
      </c>
      <c r="K1186">
        <v>0</v>
      </c>
      <c r="L1186">
        <v>3</v>
      </c>
      <c r="M1186">
        <v>0</v>
      </c>
      <c r="N1186">
        <v>2</v>
      </c>
      <c r="O1186">
        <v>1</v>
      </c>
      <c r="P1186">
        <v>0</v>
      </c>
      <c r="Q1186">
        <v>0</v>
      </c>
      <c r="S1186" t="str">
        <f>"14:00:22.078"</f>
        <v>14:00:22.078</v>
      </c>
      <c r="T1186" t="str">
        <f>"14:00:21.578"</f>
        <v>14:00:21.578</v>
      </c>
      <c r="U1186" t="str">
        <f t="shared" si="58"/>
        <v>A92BC1</v>
      </c>
      <c r="V1186">
        <v>0</v>
      </c>
      <c r="W1186">
        <v>0</v>
      </c>
      <c r="X1186">
        <v>2</v>
      </c>
      <c r="Z1186">
        <v>0</v>
      </c>
      <c r="AA1186">
        <v>9</v>
      </c>
      <c r="AB1186">
        <v>3</v>
      </c>
      <c r="AC1186">
        <v>0</v>
      </c>
      <c r="AD1186">
        <v>10</v>
      </c>
      <c r="AE1186">
        <v>0</v>
      </c>
      <c r="AF1186">
        <v>3</v>
      </c>
      <c r="AG1186">
        <v>2</v>
      </c>
      <c r="AH1186">
        <v>0</v>
      </c>
      <c r="AI1186" t="s">
        <v>1286</v>
      </c>
      <c r="AJ1186">
        <v>45.921221000000003</v>
      </c>
      <c r="AK1186" t="s">
        <v>1287</v>
      </c>
      <c r="AL1186">
        <v>-89.042536999999996</v>
      </c>
      <c r="AM1186">
        <v>100</v>
      </c>
      <c r="AN1186">
        <v>15200</v>
      </c>
      <c r="AO1186" t="s">
        <v>118</v>
      </c>
      <c r="AP1186">
        <v>90</v>
      </c>
      <c r="AQ1186">
        <v>64</v>
      </c>
      <c r="AR1186">
        <v>-1280</v>
      </c>
      <c r="AZ1186">
        <v>1200</v>
      </c>
      <c r="BA1186">
        <v>1</v>
      </c>
      <c r="BB1186" t="str">
        <f t="shared" si="57"/>
        <v xml:space="preserve">N690LS  </v>
      </c>
      <c r="BC1186">
        <v>1</v>
      </c>
      <c r="BE1186">
        <v>0</v>
      </c>
      <c r="BF1186">
        <v>0</v>
      </c>
      <c r="BG1186">
        <v>0</v>
      </c>
      <c r="BH1186">
        <v>15750</v>
      </c>
      <c r="BI1186">
        <v>1</v>
      </c>
      <c r="BJ1186">
        <v>1</v>
      </c>
      <c r="BK1186">
        <v>1</v>
      </c>
      <c r="BL1186">
        <v>0</v>
      </c>
      <c r="BO1186">
        <v>0</v>
      </c>
      <c r="BP1186">
        <v>0</v>
      </c>
      <c r="BW1186" t="str">
        <f>"14:00:22.084"</f>
        <v>14:00:22.084</v>
      </c>
      <c r="CJ1186">
        <v>0</v>
      </c>
      <c r="CK1186">
        <v>2</v>
      </c>
      <c r="CL1186">
        <v>0</v>
      </c>
      <c r="CM1186">
        <v>2</v>
      </c>
      <c r="CN1186">
        <v>0</v>
      </c>
      <c r="CO1186">
        <v>7</v>
      </c>
      <c r="CP1186" t="s">
        <v>119</v>
      </c>
      <c r="CQ1186">
        <v>209</v>
      </c>
      <c r="CR1186">
        <v>3</v>
      </c>
      <c r="CW1186">
        <v>7298619</v>
      </c>
      <c r="CY1186">
        <v>1</v>
      </c>
      <c r="CZ1186">
        <v>0</v>
      </c>
      <c r="DA1186">
        <v>1</v>
      </c>
      <c r="DB1186">
        <v>0</v>
      </c>
      <c r="DC1186">
        <v>0</v>
      </c>
      <c r="DD1186">
        <v>1</v>
      </c>
      <c r="DE1186">
        <v>0</v>
      </c>
      <c r="DF1186">
        <v>0</v>
      </c>
      <c r="DG1186">
        <v>0</v>
      </c>
      <c r="DH1186">
        <v>0</v>
      </c>
      <c r="DI1186">
        <v>0</v>
      </c>
    </row>
    <row r="1187" spans="1:113" x14ac:dyDescent="0.3">
      <c r="A1187" t="str">
        <f>"09/28/2021 14:00:23.262"</f>
        <v>09/28/2021 14:00:23.262</v>
      </c>
      <c r="C1187" t="str">
        <f t="shared" si="56"/>
        <v>FFDFD3C0</v>
      </c>
      <c r="D1187" t="s">
        <v>120</v>
      </c>
      <c r="E1187">
        <v>12</v>
      </c>
      <c r="F1187">
        <v>1012</v>
      </c>
      <c r="G1187" t="s">
        <v>114</v>
      </c>
      <c r="J1187" t="s">
        <v>121</v>
      </c>
      <c r="K1187">
        <v>0</v>
      </c>
      <c r="L1187">
        <v>3</v>
      </c>
      <c r="M1187">
        <v>0</v>
      </c>
      <c r="N1187">
        <v>2</v>
      </c>
      <c r="O1187">
        <v>1</v>
      </c>
      <c r="P1187">
        <v>0</v>
      </c>
      <c r="Q1187">
        <v>0</v>
      </c>
      <c r="S1187" t="str">
        <f>"14:00:23.078"</f>
        <v>14:00:23.078</v>
      </c>
      <c r="T1187" t="str">
        <f>"14:00:22.678"</f>
        <v>14:00:22.678</v>
      </c>
      <c r="U1187" t="str">
        <f t="shared" si="58"/>
        <v>A92BC1</v>
      </c>
      <c r="V1187">
        <v>0</v>
      </c>
      <c r="W1187">
        <v>0</v>
      </c>
      <c r="X1187">
        <v>2</v>
      </c>
      <c r="Z1187">
        <v>0</v>
      </c>
      <c r="AA1187">
        <v>9</v>
      </c>
      <c r="AB1187">
        <v>3</v>
      </c>
      <c r="AC1187">
        <v>0</v>
      </c>
      <c r="AD1187">
        <v>10</v>
      </c>
      <c r="AE1187">
        <v>0</v>
      </c>
      <c r="AF1187">
        <v>3</v>
      </c>
      <c r="AG1187">
        <v>2</v>
      </c>
      <c r="AH1187">
        <v>0</v>
      </c>
      <c r="AI1187" t="s">
        <v>1288</v>
      </c>
      <c r="AJ1187">
        <v>45.921500000000002</v>
      </c>
      <c r="AK1187" t="s">
        <v>1289</v>
      </c>
      <c r="AL1187">
        <v>-89.042000999999999</v>
      </c>
      <c r="AM1187">
        <v>100</v>
      </c>
      <c r="AN1187">
        <v>15200</v>
      </c>
      <c r="AO1187" t="s">
        <v>118</v>
      </c>
      <c r="AP1187">
        <v>90</v>
      </c>
      <c r="AQ1187">
        <v>64</v>
      </c>
      <c r="AR1187">
        <v>-1088</v>
      </c>
      <c r="AZ1187">
        <v>1200</v>
      </c>
      <c r="BA1187">
        <v>1</v>
      </c>
      <c r="BB1187" t="str">
        <f t="shared" si="57"/>
        <v xml:space="preserve">N690LS  </v>
      </c>
      <c r="BC1187">
        <v>1</v>
      </c>
      <c r="BE1187">
        <v>0</v>
      </c>
      <c r="BF1187">
        <v>0</v>
      </c>
      <c r="BG1187">
        <v>0</v>
      </c>
      <c r="BH1187">
        <v>15725</v>
      </c>
      <c r="BI1187">
        <v>1</v>
      </c>
      <c r="BJ1187">
        <v>1</v>
      </c>
      <c r="BK1187">
        <v>1</v>
      </c>
      <c r="BL1187">
        <v>0</v>
      </c>
      <c r="BO1187">
        <v>0</v>
      </c>
      <c r="BP1187">
        <v>0</v>
      </c>
      <c r="BW1187" t="str">
        <f>"14:00:23.084"</f>
        <v>14:00:23.084</v>
      </c>
      <c r="CJ1187">
        <v>0</v>
      </c>
      <c r="CK1187">
        <v>2</v>
      </c>
      <c r="CL1187">
        <v>0</v>
      </c>
      <c r="CM1187">
        <v>2</v>
      </c>
      <c r="CN1187">
        <v>0</v>
      </c>
      <c r="CO1187">
        <v>7</v>
      </c>
      <c r="CP1187" t="s">
        <v>119</v>
      </c>
      <c r="CQ1187">
        <v>209</v>
      </c>
      <c r="CR1187">
        <v>3</v>
      </c>
      <c r="CW1187">
        <v>7299025</v>
      </c>
      <c r="CY1187">
        <v>1</v>
      </c>
      <c r="CZ1187">
        <v>0</v>
      </c>
      <c r="DA1187">
        <v>0</v>
      </c>
      <c r="DB1187">
        <v>0</v>
      </c>
      <c r="DC1187">
        <v>0</v>
      </c>
      <c r="DD1187">
        <v>1</v>
      </c>
      <c r="DE1187">
        <v>0</v>
      </c>
      <c r="DF1187">
        <v>0</v>
      </c>
      <c r="DG1187">
        <v>0</v>
      </c>
      <c r="DH1187">
        <v>0</v>
      </c>
      <c r="DI1187">
        <v>0</v>
      </c>
    </row>
    <row r="1188" spans="1:113" x14ac:dyDescent="0.3">
      <c r="A1188" t="str">
        <f>"09/28/2021 14:00:23.340"</f>
        <v>09/28/2021 14:00:23.340</v>
      </c>
      <c r="C1188" t="str">
        <f t="shared" si="56"/>
        <v>FFDFD3C0</v>
      </c>
      <c r="D1188" t="s">
        <v>113</v>
      </c>
      <c r="E1188">
        <v>7</v>
      </c>
      <c r="H1188">
        <v>170</v>
      </c>
      <c r="I1188" t="s">
        <v>114</v>
      </c>
      <c r="J1188" t="s">
        <v>115</v>
      </c>
      <c r="K1188">
        <v>0</v>
      </c>
      <c r="L1188">
        <v>3</v>
      </c>
      <c r="M1188">
        <v>0</v>
      </c>
      <c r="N1188">
        <v>2</v>
      </c>
      <c r="O1188">
        <v>1</v>
      </c>
      <c r="P1188">
        <v>0</v>
      </c>
      <c r="Q1188">
        <v>0</v>
      </c>
      <c r="S1188" t="str">
        <f>"14:00:23.078"</f>
        <v>14:00:23.078</v>
      </c>
      <c r="T1188" t="str">
        <f>"14:00:22.678"</f>
        <v>14:00:22.678</v>
      </c>
      <c r="U1188" t="str">
        <f t="shared" si="58"/>
        <v>A92BC1</v>
      </c>
      <c r="V1188">
        <v>0</v>
      </c>
      <c r="W1188">
        <v>0</v>
      </c>
      <c r="X1188">
        <v>2</v>
      </c>
      <c r="Z1188">
        <v>0</v>
      </c>
      <c r="AA1188">
        <v>9</v>
      </c>
      <c r="AB1188">
        <v>3</v>
      </c>
      <c r="AC1188">
        <v>0</v>
      </c>
      <c r="AD1188">
        <v>10</v>
      </c>
      <c r="AE1188">
        <v>0</v>
      </c>
      <c r="AF1188">
        <v>3</v>
      </c>
      <c r="AG1188">
        <v>2</v>
      </c>
      <c r="AH1188">
        <v>0</v>
      </c>
      <c r="AI1188" t="s">
        <v>1288</v>
      </c>
      <c r="AJ1188">
        <v>45.921500000000002</v>
      </c>
      <c r="AK1188" t="s">
        <v>1289</v>
      </c>
      <c r="AL1188">
        <v>-89.042000999999999</v>
      </c>
      <c r="AM1188">
        <v>100</v>
      </c>
      <c r="AN1188">
        <v>15200</v>
      </c>
      <c r="AO1188" t="s">
        <v>118</v>
      </c>
      <c r="AP1188">
        <v>90</v>
      </c>
      <c r="AQ1188">
        <v>64</v>
      </c>
      <c r="AR1188">
        <v>-1088</v>
      </c>
      <c r="AZ1188">
        <v>1200</v>
      </c>
      <c r="BA1188">
        <v>1</v>
      </c>
      <c r="BB1188" t="str">
        <f t="shared" si="57"/>
        <v xml:space="preserve">N690LS  </v>
      </c>
      <c r="BC1188">
        <v>1</v>
      </c>
      <c r="BE1188">
        <v>0</v>
      </c>
      <c r="BF1188">
        <v>0</v>
      </c>
      <c r="BG1188">
        <v>0</v>
      </c>
      <c r="BH1188">
        <v>15725</v>
      </c>
      <c r="BI1188">
        <v>1</v>
      </c>
      <c r="BJ1188">
        <v>1</v>
      </c>
      <c r="BK1188">
        <v>1</v>
      </c>
      <c r="BL1188">
        <v>0</v>
      </c>
      <c r="BO1188">
        <v>0</v>
      </c>
      <c r="BP1188">
        <v>0</v>
      </c>
      <c r="BW1188" t="str">
        <f>"14:00:23.084"</f>
        <v>14:00:23.084</v>
      </c>
      <c r="CJ1188">
        <v>0</v>
      </c>
      <c r="CK1188">
        <v>2</v>
      </c>
      <c r="CL1188">
        <v>0</v>
      </c>
      <c r="CM1188">
        <v>2</v>
      </c>
      <c r="CN1188">
        <v>0</v>
      </c>
      <c r="CO1188">
        <v>7</v>
      </c>
      <c r="CP1188" t="s">
        <v>119</v>
      </c>
      <c r="CQ1188">
        <v>209</v>
      </c>
      <c r="CR1188">
        <v>3</v>
      </c>
      <c r="CW1188">
        <v>7299025</v>
      </c>
      <c r="CY1188">
        <v>1</v>
      </c>
      <c r="CZ1188">
        <v>0</v>
      </c>
      <c r="DA1188">
        <v>1</v>
      </c>
      <c r="DB1188">
        <v>0</v>
      </c>
      <c r="DC1188">
        <v>0</v>
      </c>
      <c r="DD1188">
        <v>1</v>
      </c>
      <c r="DE1188">
        <v>0</v>
      </c>
      <c r="DF1188">
        <v>0</v>
      </c>
      <c r="DG1188">
        <v>0</v>
      </c>
      <c r="DH1188">
        <v>0</v>
      </c>
      <c r="DI1188">
        <v>0</v>
      </c>
    </row>
    <row r="1189" spans="1:113" x14ac:dyDescent="0.3">
      <c r="A1189" t="str">
        <f>"09/28/2021 14:00:24.247"</f>
        <v>09/28/2021 14:00:24.247</v>
      </c>
      <c r="C1189" t="str">
        <f t="shared" si="56"/>
        <v>FFDFD3C0</v>
      </c>
      <c r="D1189" t="s">
        <v>113</v>
      </c>
      <c r="E1189">
        <v>7</v>
      </c>
      <c r="H1189">
        <v>170</v>
      </c>
      <c r="I1189" t="s">
        <v>114</v>
      </c>
      <c r="J1189" t="s">
        <v>115</v>
      </c>
      <c r="K1189">
        <v>0</v>
      </c>
      <c r="L1189">
        <v>3</v>
      </c>
      <c r="M1189">
        <v>0</v>
      </c>
      <c r="N1189">
        <v>2</v>
      </c>
      <c r="O1189">
        <v>1</v>
      </c>
      <c r="P1189">
        <v>0</v>
      </c>
      <c r="Q1189">
        <v>0</v>
      </c>
      <c r="S1189" t="str">
        <f>"14:00:24.016"</f>
        <v>14:00:24.016</v>
      </c>
      <c r="T1189" t="str">
        <f>"14:00:23.516"</f>
        <v>14:00:23.516</v>
      </c>
      <c r="U1189" t="str">
        <f t="shared" si="58"/>
        <v>A92BC1</v>
      </c>
      <c r="V1189">
        <v>0</v>
      </c>
      <c r="W1189">
        <v>0</v>
      </c>
      <c r="X1189">
        <v>2</v>
      </c>
      <c r="Z1189">
        <v>0</v>
      </c>
      <c r="AA1189">
        <v>9</v>
      </c>
      <c r="AB1189">
        <v>3</v>
      </c>
      <c r="AC1189">
        <v>0</v>
      </c>
      <c r="AD1189">
        <v>10</v>
      </c>
      <c r="AE1189">
        <v>0</v>
      </c>
      <c r="AF1189">
        <v>3</v>
      </c>
      <c r="AG1189">
        <v>2</v>
      </c>
      <c r="AH1189">
        <v>0</v>
      </c>
      <c r="AI1189" t="s">
        <v>1290</v>
      </c>
      <c r="AJ1189">
        <v>45.921756999999999</v>
      </c>
      <c r="AK1189" t="s">
        <v>1291</v>
      </c>
      <c r="AL1189">
        <v>-89.041443000000001</v>
      </c>
      <c r="AM1189">
        <v>100</v>
      </c>
      <c r="AN1189">
        <v>15200</v>
      </c>
      <c r="AO1189" t="s">
        <v>118</v>
      </c>
      <c r="AP1189">
        <v>89</v>
      </c>
      <c r="AQ1189">
        <v>64</v>
      </c>
      <c r="AR1189">
        <v>-896</v>
      </c>
      <c r="AZ1189">
        <v>1200</v>
      </c>
      <c r="BA1189">
        <v>1</v>
      </c>
      <c r="BB1189" t="str">
        <f t="shared" si="57"/>
        <v xml:space="preserve">N690LS  </v>
      </c>
      <c r="BC1189">
        <v>1</v>
      </c>
      <c r="BE1189">
        <v>0</v>
      </c>
      <c r="BF1189">
        <v>0</v>
      </c>
      <c r="BG1189">
        <v>0</v>
      </c>
      <c r="BH1189">
        <v>15725</v>
      </c>
      <c r="BI1189">
        <v>1</v>
      </c>
      <c r="BJ1189">
        <v>1</v>
      </c>
      <c r="BK1189">
        <v>1</v>
      </c>
      <c r="BL1189">
        <v>0</v>
      </c>
      <c r="BO1189">
        <v>0</v>
      </c>
      <c r="BP1189">
        <v>0</v>
      </c>
      <c r="BW1189" t="str">
        <f>"14:00:24.023"</f>
        <v>14:00:24.023</v>
      </c>
      <c r="CJ1189">
        <v>0</v>
      </c>
      <c r="CK1189">
        <v>2</v>
      </c>
      <c r="CL1189">
        <v>0</v>
      </c>
      <c r="CM1189">
        <v>2</v>
      </c>
      <c r="CN1189">
        <v>0</v>
      </c>
      <c r="CO1189">
        <v>7</v>
      </c>
      <c r="CP1189" t="s">
        <v>119</v>
      </c>
      <c r="CQ1189">
        <v>209</v>
      </c>
      <c r="CR1189">
        <v>3</v>
      </c>
      <c r="CW1189">
        <v>7299354</v>
      </c>
      <c r="CY1189">
        <v>1</v>
      </c>
      <c r="CZ1189">
        <v>0</v>
      </c>
      <c r="DA1189">
        <v>0</v>
      </c>
      <c r="DB1189">
        <v>0</v>
      </c>
      <c r="DC1189">
        <v>0</v>
      </c>
      <c r="DD1189">
        <v>1</v>
      </c>
      <c r="DE1189">
        <v>0</v>
      </c>
      <c r="DF1189">
        <v>0</v>
      </c>
      <c r="DG1189">
        <v>0</v>
      </c>
      <c r="DH1189">
        <v>0</v>
      </c>
      <c r="DI1189">
        <v>0</v>
      </c>
    </row>
    <row r="1190" spans="1:113" x14ac:dyDescent="0.3">
      <c r="A1190" t="str">
        <f>"09/28/2021 14:00:24.278"</f>
        <v>09/28/2021 14:00:24.278</v>
      </c>
      <c r="C1190" t="str">
        <f t="shared" si="56"/>
        <v>FFDFD3C0</v>
      </c>
      <c r="D1190" t="s">
        <v>120</v>
      </c>
      <c r="E1190">
        <v>12</v>
      </c>
      <c r="F1190">
        <v>1012</v>
      </c>
      <c r="G1190" t="s">
        <v>114</v>
      </c>
      <c r="J1190" t="s">
        <v>121</v>
      </c>
      <c r="K1190">
        <v>0</v>
      </c>
      <c r="L1190">
        <v>3</v>
      </c>
      <c r="M1190">
        <v>0</v>
      </c>
      <c r="N1190">
        <v>2</v>
      </c>
      <c r="O1190">
        <v>1</v>
      </c>
      <c r="P1190">
        <v>0</v>
      </c>
      <c r="Q1190">
        <v>0</v>
      </c>
      <c r="S1190" t="str">
        <f>"14:00:24.016"</f>
        <v>14:00:24.016</v>
      </c>
      <c r="T1190" t="str">
        <f>"14:00:23.516"</f>
        <v>14:00:23.516</v>
      </c>
      <c r="U1190" t="str">
        <f t="shared" si="58"/>
        <v>A92BC1</v>
      </c>
      <c r="V1190">
        <v>0</v>
      </c>
      <c r="W1190">
        <v>0</v>
      </c>
      <c r="X1190">
        <v>2</v>
      </c>
      <c r="Z1190">
        <v>0</v>
      </c>
      <c r="AA1190">
        <v>9</v>
      </c>
      <c r="AB1190">
        <v>3</v>
      </c>
      <c r="AC1190">
        <v>0</v>
      </c>
      <c r="AD1190">
        <v>10</v>
      </c>
      <c r="AE1190">
        <v>0</v>
      </c>
      <c r="AF1190">
        <v>3</v>
      </c>
      <c r="AG1190">
        <v>2</v>
      </c>
      <c r="AH1190">
        <v>0</v>
      </c>
      <c r="AI1190" t="s">
        <v>1290</v>
      </c>
      <c r="AJ1190">
        <v>45.921756999999999</v>
      </c>
      <c r="AK1190" t="s">
        <v>1291</v>
      </c>
      <c r="AL1190">
        <v>-89.041443000000001</v>
      </c>
      <c r="AM1190">
        <v>100</v>
      </c>
      <c r="AN1190">
        <v>15200</v>
      </c>
      <c r="AO1190" t="s">
        <v>118</v>
      </c>
      <c r="AP1190">
        <v>89</v>
      </c>
      <c r="AQ1190">
        <v>64</v>
      </c>
      <c r="AR1190">
        <v>-896</v>
      </c>
      <c r="AZ1190">
        <v>1200</v>
      </c>
      <c r="BA1190">
        <v>1</v>
      </c>
      <c r="BB1190" t="str">
        <f t="shared" si="57"/>
        <v xml:space="preserve">N690LS  </v>
      </c>
      <c r="BC1190">
        <v>1</v>
      </c>
      <c r="BE1190">
        <v>0</v>
      </c>
      <c r="BF1190">
        <v>0</v>
      </c>
      <c r="BG1190">
        <v>0</v>
      </c>
      <c r="BH1190">
        <v>15725</v>
      </c>
      <c r="BI1190">
        <v>1</v>
      </c>
      <c r="BJ1190">
        <v>1</v>
      </c>
      <c r="BK1190">
        <v>1</v>
      </c>
      <c r="BL1190">
        <v>0</v>
      </c>
      <c r="BO1190">
        <v>0</v>
      </c>
      <c r="BP1190">
        <v>0</v>
      </c>
      <c r="BW1190" t="str">
        <f>"14:00:24.023"</f>
        <v>14:00:24.023</v>
      </c>
      <c r="CJ1190">
        <v>0</v>
      </c>
      <c r="CK1190">
        <v>2</v>
      </c>
      <c r="CL1190">
        <v>0</v>
      </c>
      <c r="CM1190">
        <v>2</v>
      </c>
      <c r="CN1190">
        <v>0</v>
      </c>
      <c r="CO1190">
        <v>7</v>
      </c>
      <c r="CP1190" t="s">
        <v>119</v>
      </c>
      <c r="CQ1190">
        <v>209</v>
      </c>
      <c r="CR1190">
        <v>3</v>
      </c>
      <c r="CW1190">
        <v>7299354</v>
      </c>
      <c r="CY1190">
        <v>1</v>
      </c>
      <c r="CZ1190">
        <v>0</v>
      </c>
      <c r="DA1190">
        <v>1</v>
      </c>
      <c r="DB1190">
        <v>0</v>
      </c>
      <c r="DC1190">
        <v>0</v>
      </c>
      <c r="DD1190">
        <v>1</v>
      </c>
      <c r="DE1190">
        <v>0</v>
      </c>
      <c r="DF1190">
        <v>0</v>
      </c>
      <c r="DG1190">
        <v>0</v>
      </c>
      <c r="DH1190">
        <v>0</v>
      </c>
      <c r="DI1190">
        <v>0</v>
      </c>
    </row>
    <row r="1191" spans="1:113" x14ac:dyDescent="0.3">
      <c r="A1191" t="str">
        <f>"09/28/2021 14:00:25.279"</f>
        <v>09/28/2021 14:00:25.279</v>
      </c>
      <c r="C1191" t="str">
        <f t="shared" ref="C1191:C1256" si="59">"FFDFD3C0"</f>
        <v>FFDFD3C0</v>
      </c>
      <c r="D1191" t="s">
        <v>113</v>
      </c>
      <c r="E1191">
        <v>7</v>
      </c>
      <c r="H1191">
        <v>170</v>
      </c>
      <c r="I1191" t="s">
        <v>114</v>
      </c>
      <c r="J1191" t="s">
        <v>115</v>
      </c>
      <c r="K1191">
        <v>0</v>
      </c>
      <c r="L1191">
        <v>3</v>
      </c>
      <c r="M1191">
        <v>0</v>
      </c>
      <c r="N1191">
        <v>2</v>
      </c>
      <c r="O1191">
        <v>1</v>
      </c>
      <c r="P1191">
        <v>0</v>
      </c>
      <c r="Q1191">
        <v>0</v>
      </c>
      <c r="S1191" t="str">
        <f>"14:00:25.070"</f>
        <v>14:00:25.070</v>
      </c>
      <c r="T1191" t="str">
        <f>"14:00:24.570"</f>
        <v>14:00:24.570</v>
      </c>
      <c r="U1191" t="str">
        <f t="shared" si="58"/>
        <v>A92BC1</v>
      </c>
      <c r="V1191">
        <v>0</v>
      </c>
      <c r="W1191">
        <v>0</v>
      </c>
      <c r="X1191">
        <v>2</v>
      </c>
      <c r="Z1191">
        <v>0</v>
      </c>
      <c r="AA1191">
        <v>9</v>
      </c>
      <c r="AB1191">
        <v>3</v>
      </c>
      <c r="AC1191">
        <v>0</v>
      </c>
      <c r="AD1191">
        <v>10</v>
      </c>
      <c r="AE1191">
        <v>0</v>
      </c>
      <c r="AF1191">
        <v>3</v>
      </c>
      <c r="AG1191">
        <v>2</v>
      </c>
      <c r="AH1191">
        <v>0</v>
      </c>
      <c r="AI1191" t="s">
        <v>1292</v>
      </c>
      <c r="AJ1191">
        <v>45.922100999999998</v>
      </c>
      <c r="AK1191" t="s">
        <v>1293</v>
      </c>
      <c r="AL1191">
        <v>-89.040820999999994</v>
      </c>
      <c r="AM1191">
        <v>100</v>
      </c>
      <c r="AN1191">
        <v>15200</v>
      </c>
      <c r="AO1191" t="s">
        <v>118</v>
      </c>
      <c r="AP1191">
        <v>88</v>
      </c>
      <c r="AQ1191">
        <v>64</v>
      </c>
      <c r="AR1191">
        <v>-704</v>
      </c>
      <c r="AZ1191">
        <v>1200</v>
      </c>
      <c r="BA1191">
        <v>1</v>
      </c>
      <c r="BB1191" t="str">
        <f t="shared" ref="BB1191:BB1256" si="60">"N690LS  "</f>
        <v xml:space="preserve">N690LS  </v>
      </c>
      <c r="BC1191">
        <v>1</v>
      </c>
      <c r="BE1191">
        <v>0</v>
      </c>
      <c r="BF1191">
        <v>0</v>
      </c>
      <c r="BG1191">
        <v>0</v>
      </c>
      <c r="BH1191">
        <v>15700</v>
      </c>
      <c r="BI1191">
        <v>1</v>
      </c>
      <c r="BJ1191">
        <v>1</v>
      </c>
      <c r="BK1191">
        <v>1</v>
      </c>
      <c r="BL1191">
        <v>0</v>
      </c>
      <c r="BO1191">
        <v>0</v>
      </c>
      <c r="BP1191">
        <v>0</v>
      </c>
      <c r="BW1191" t="str">
        <f>"14:00:25.076"</f>
        <v>14:00:25.076</v>
      </c>
      <c r="CJ1191">
        <v>0</v>
      </c>
      <c r="CK1191">
        <v>2</v>
      </c>
      <c r="CL1191">
        <v>0</v>
      </c>
      <c r="CM1191">
        <v>2</v>
      </c>
      <c r="CN1191">
        <v>0</v>
      </c>
      <c r="CO1191">
        <v>7</v>
      </c>
      <c r="CP1191" t="s">
        <v>119</v>
      </c>
      <c r="CQ1191">
        <v>209</v>
      </c>
      <c r="CR1191">
        <v>3</v>
      </c>
      <c r="CW1191">
        <v>7299719</v>
      </c>
      <c r="CY1191">
        <v>1</v>
      </c>
      <c r="CZ1191">
        <v>0</v>
      </c>
      <c r="DA1191">
        <v>0</v>
      </c>
      <c r="DB1191">
        <v>0</v>
      </c>
      <c r="DC1191">
        <v>0</v>
      </c>
      <c r="DD1191">
        <v>1</v>
      </c>
      <c r="DE1191">
        <v>0</v>
      </c>
      <c r="DF1191">
        <v>0</v>
      </c>
      <c r="DG1191">
        <v>0</v>
      </c>
      <c r="DH1191">
        <v>0</v>
      </c>
      <c r="DI1191">
        <v>0</v>
      </c>
    </row>
    <row r="1192" spans="1:113" x14ac:dyDescent="0.3">
      <c r="A1192" t="str">
        <f>"09/28/2021 14:00:25.279"</f>
        <v>09/28/2021 14:00:25.279</v>
      </c>
      <c r="C1192" t="str">
        <f t="shared" si="59"/>
        <v>FFDFD3C0</v>
      </c>
      <c r="D1192" t="s">
        <v>120</v>
      </c>
      <c r="E1192">
        <v>12</v>
      </c>
      <c r="F1192">
        <v>1012</v>
      </c>
      <c r="G1192" t="s">
        <v>114</v>
      </c>
      <c r="J1192" t="s">
        <v>121</v>
      </c>
      <c r="K1192">
        <v>0</v>
      </c>
      <c r="L1192">
        <v>3</v>
      </c>
      <c r="M1192">
        <v>0</v>
      </c>
      <c r="N1192">
        <v>2</v>
      </c>
      <c r="O1192">
        <v>1</v>
      </c>
      <c r="P1192">
        <v>0</v>
      </c>
      <c r="Q1192">
        <v>0</v>
      </c>
      <c r="S1192" t="str">
        <f>"14:00:25.070"</f>
        <v>14:00:25.070</v>
      </c>
      <c r="T1192" t="str">
        <f>"14:00:24.570"</f>
        <v>14:00:24.570</v>
      </c>
      <c r="U1192" t="str">
        <f t="shared" si="58"/>
        <v>A92BC1</v>
      </c>
      <c r="V1192">
        <v>0</v>
      </c>
      <c r="W1192">
        <v>0</v>
      </c>
      <c r="X1192">
        <v>2</v>
      </c>
      <c r="Z1192">
        <v>0</v>
      </c>
      <c r="AA1192">
        <v>9</v>
      </c>
      <c r="AB1192">
        <v>3</v>
      </c>
      <c r="AC1192">
        <v>0</v>
      </c>
      <c r="AD1192">
        <v>10</v>
      </c>
      <c r="AE1192">
        <v>0</v>
      </c>
      <c r="AF1192">
        <v>3</v>
      </c>
      <c r="AG1192">
        <v>2</v>
      </c>
      <c r="AH1192">
        <v>0</v>
      </c>
      <c r="AI1192" t="s">
        <v>1292</v>
      </c>
      <c r="AJ1192">
        <v>45.922100999999998</v>
      </c>
      <c r="AK1192" t="s">
        <v>1293</v>
      </c>
      <c r="AL1192">
        <v>-89.040820999999994</v>
      </c>
      <c r="AM1192">
        <v>100</v>
      </c>
      <c r="AN1192">
        <v>15200</v>
      </c>
      <c r="AO1192" t="s">
        <v>118</v>
      </c>
      <c r="AP1192">
        <v>88</v>
      </c>
      <c r="AQ1192">
        <v>64</v>
      </c>
      <c r="AR1192">
        <v>-704</v>
      </c>
      <c r="AZ1192">
        <v>1200</v>
      </c>
      <c r="BA1192">
        <v>1</v>
      </c>
      <c r="BB1192" t="str">
        <f t="shared" si="60"/>
        <v xml:space="preserve">N690LS  </v>
      </c>
      <c r="BC1192">
        <v>1</v>
      </c>
      <c r="BE1192">
        <v>0</v>
      </c>
      <c r="BF1192">
        <v>0</v>
      </c>
      <c r="BG1192">
        <v>0</v>
      </c>
      <c r="BH1192">
        <v>15700</v>
      </c>
      <c r="BI1192">
        <v>1</v>
      </c>
      <c r="BJ1192">
        <v>1</v>
      </c>
      <c r="BK1192">
        <v>1</v>
      </c>
      <c r="BL1192">
        <v>0</v>
      </c>
      <c r="BO1192">
        <v>0</v>
      </c>
      <c r="BP1192">
        <v>0</v>
      </c>
      <c r="BW1192" t="str">
        <f>"14:00:25.076"</f>
        <v>14:00:25.076</v>
      </c>
      <c r="CJ1192">
        <v>0</v>
      </c>
      <c r="CK1192">
        <v>2</v>
      </c>
      <c r="CL1192">
        <v>0</v>
      </c>
      <c r="CM1192">
        <v>2</v>
      </c>
      <c r="CN1192">
        <v>0</v>
      </c>
      <c r="CO1192">
        <v>7</v>
      </c>
      <c r="CP1192" t="s">
        <v>119</v>
      </c>
      <c r="CQ1192">
        <v>209</v>
      </c>
      <c r="CR1192">
        <v>3</v>
      </c>
      <c r="CW1192">
        <v>7299719</v>
      </c>
      <c r="CY1192">
        <v>1</v>
      </c>
      <c r="CZ1192">
        <v>0</v>
      </c>
      <c r="DA1192">
        <v>1</v>
      </c>
      <c r="DB1192">
        <v>0</v>
      </c>
      <c r="DC1192">
        <v>0</v>
      </c>
      <c r="DD1192">
        <v>1</v>
      </c>
      <c r="DE1192">
        <v>0</v>
      </c>
      <c r="DF1192">
        <v>0</v>
      </c>
      <c r="DG1192">
        <v>0</v>
      </c>
      <c r="DH1192">
        <v>0</v>
      </c>
      <c r="DI1192">
        <v>0</v>
      </c>
    </row>
    <row r="1193" spans="1:113" x14ac:dyDescent="0.3">
      <c r="A1193" t="str">
        <f>"09/28/2021 14:00:26.263"</f>
        <v>09/28/2021 14:00:26.263</v>
      </c>
      <c r="C1193" t="str">
        <f t="shared" si="59"/>
        <v>FFDFD3C0</v>
      </c>
      <c r="D1193" t="s">
        <v>120</v>
      </c>
      <c r="E1193">
        <v>12</v>
      </c>
      <c r="F1193">
        <v>1012</v>
      </c>
      <c r="G1193" t="s">
        <v>114</v>
      </c>
      <c r="J1193" t="s">
        <v>121</v>
      </c>
      <c r="K1193">
        <v>0</v>
      </c>
      <c r="L1193">
        <v>3</v>
      </c>
      <c r="M1193">
        <v>0</v>
      </c>
      <c r="N1193">
        <v>2</v>
      </c>
      <c r="O1193">
        <v>1</v>
      </c>
      <c r="P1193">
        <v>0</v>
      </c>
      <c r="Q1193">
        <v>0</v>
      </c>
      <c r="S1193" t="str">
        <f>"14:00:26.063"</f>
        <v>14:00:26.063</v>
      </c>
      <c r="T1193" t="str">
        <f>"14:00:25.663"</f>
        <v>14:00:25.663</v>
      </c>
      <c r="U1193" t="str">
        <f t="shared" si="58"/>
        <v>A92BC1</v>
      </c>
      <c r="V1193">
        <v>0</v>
      </c>
      <c r="W1193">
        <v>0</v>
      </c>
      <c r="X1193">
        <v>2</v>
      </c>
      <c r="Z1193">
        <v>0</v>
      </c>
      <c r="AA1193">
        <v>9</v>
      </c>
      <c r="AB1193">
        <v>3</v>
      </c>
      <c r="AC1193">
        <v>0</v>
      </c>
      <c r="AD1193">
        <v>10</v>
      </c>
      <c r="AE1193">
        <v>0</v>
      </c>
      <c r="AF1193">
        <v>3</v>
      </c>
      <c r="AG1193">
        <v>2</v>
      </c>
      <c r="AH1193">
        <v>0</v>
      </c>
      <c r="AI1193" t="s">
        <v>1294</v>
      </c>
      <c r="AJ1193">
        <v>45.922378999999999</v>
      </c>
      <c r="AK1193" t="s">
        <v>1295</v>
      </c>
      <c r="AL1193">
        <v>-89.040198000000004</v>
      </c>
      <c r="AM1193">
        <v>100</v>
      </c>
      <c r="AN1193">
        <v>15200</v>
      </c>
      <c r="AO1193" t="s">
        <v>118</v>
      </c>
      <c r="AP1193">
        <v>86</v>
      </c>
      <c r="AQ1193">
        <v>63</v>
      </c>
      <c r="AR1193">
        <v>-640</v>
      </c>
      <c r="AZ1193">
        <v>1200</v>
      </c>
      <c r="BA1193">
        <v>1</v>
      </c>
      <c r="BB1193" t="str">
        <f t="shared" si="60"/>
        <v xml:space="preserve">N690LS  </v>
      </c>
      <c r="BC1193">
        <v>1</v>
      </c>
      <c r="BE1193">
        <v>0</v>
      </c>
      <c r="BF1193">
        <v>0</v>
      </c>
      <c r="BG1193">
        <v>0</v>
      </c>
      <c r="BH1193">
        <v>15700</v>
      </c>
      <c r="BI1193">
        <v>1</v>
      </c>
      <c r="BJ1193">
        <v>1</v>
      </c>
      <c r="BK1193">
        <v>1</v>
      </c>
      <c r="BL1193">
        <v>0</v>
      </c>
      <c r="BO1193">
        <v>0</v>
      </c>
      <c r="BP1193">
        <v>0</v>
      </c>
      <c r="BW1193" t="str">
        <f>"14:00:26.067"</f>
        <v>14:00:26.067</v>
      </c>
      <c r="CJ1193">
        <v>0</v>
      </c>
      <c r="CK1193">
        <v>2</v>
      </c>
      <c r="CL1193">
        <v>0</v>
      </c>
      <c r="CM1193">
        <v>2</v>
      </c>
      <c r="CN1193">
        <v>0</v>
      </c>
      <c r="CO1193">
        <v>7</v>
      </c>
      <c r="CP1193" t="s">
        <v>119</v>
      </c>
      <c r="CQ1193">
        <v>209</v>
      </c>
      <c r="CR1193">
        <v>3</v>
      </c>
      <c r="CW1193">
        <v>7300097</v>
      </c>
      <c r="CY1193">
        <v>1</v>
      </c>
      <c r="CZ1193">
        <v>0</v>
      </c>
      <c r="DA1193">
        <v>0</v>
      </c>
      <c r="DB1193">
        <v>0</v>
      </c>
      <c r="DC1193">
        <v>0</v>
      </c>
      <c r="DD1193">
        <v>1</v>
      </c>
      <c r="DE1193">
        <v>0</v>
      </c>
      <c r="DF1193">
        <v>0</v>
      </c>
      <c r="DG1193">
        <v>0</v>
      </c>
      <c r="DH1193">
        <v>0</v>
      </c>
      <c r="DI1193">
        <v>0</v>
      </c>
    </row>
    <row r="1194" spans="1:113" x14ac:dyDescent="0.3">
      <c r="A1194" t="str">
        <f>"09/28/2021 14:00:26.279"</f>
        <v>09/28/2021 14:00:26.279</v>
      </c>
      <c r="C1194" t="str">
        <f t="shared" si="59"/>
        <v>FFDFD3C0</v>
      </c>
      <c r="D1194" t="s">
        <v>113</v>
      </c>
      <c r="E1194">
        <v>7</v>
      </c>
      <c r="H1194">
        <v>170</v>
      </c>
      <c r="I1194" t="s">
        <v>114</v>
      </c>
      <c r="J1194" t="s">
        <v>115</v>
      </c>
      <c r="K1194">
        <v>0</v>
      </c>
      <c r="L1194">
        <v>3</v>
      </c>
      <c r="M1194">
        <v>0</v>
      </c>
      <c r="N1194">
        <v>2</v>
      </c>
      <c r="O1194">
        <v>1</v>
      </c>
      <c r="P1194">
        <v>0</v>
      </c>
      <c r="Q1194">
        <v>0</v>
      </c>
      <c r="S1194" t="str">
        <f>"14:00:26.063"</f>
        <v>14:00:26.063</v>
      </c>
      <c r="T1194" t="str">
        <f>"14:00:25.663"</f>
        <v>14:00:25.663</v>
      </c>
      <c r="U1194" t="str">
        <f t="shared" si="58"/>
        <v>A92BC1</v>
      </c>
      <c r="V1194">
        <v>0</v>
      </c>
      <c r="W1194">
        <v>0</v>
      </c>
      <c r="X1194">
        <v>2</v>
      </c>
      <c r="Z1194">
        <v>0</v>
      </c>
      <c r="AA1194">
        <v>9</v>
      </c>
      <c r="AB1194">
        <v>3</v>
      </c>
      <c r="AC1194">
        <v>0</v>
      </c>
      <c r="AD1194">
        <v>10</v>
      </c>
      <c r="AE1194">
        <v>0</v>
      </c>
      <c r="AF1194">
        <v>3</v>
      </c>
      <c r="AG1194">
        <v>2</v>
      </c>
      <c r="AH1194">
        <v>0</v>
      </c>
      <c r="AI1194" t="s">
        <v>1294</v>
      </c>
      <c r="AJ1194">
        <v>45.922378999999999</v>
      </c>
      <c r="AK1194" t="s">
        <v>1295</v>
      </c>
      <c r="AL1194">
        <v>-89.040198000000004</v>
      </c>
      <c r="AM1194">
        <v>100</v>
      </c>
      <c r="AN1194">
        <v>15200</v>
      </c>
      <c r="AO1194" t="s">
        <v>118</v>
      </c>
      <c r="AP1194">
        <v>86</v>
      </c>
      <c r="AQ1194">
        <v>63</v>
      </c>
      <c r="AR1194">
        <v>-640</v>
      </c>
      <c r="AZ1194">
        <v>1200</v>
      </c>
      <c r="BA1194">
        <v>1</v>
      </c>
      <c r="BB1194" t="str">
        <f t="shared" si="60"/>
        <v xml:space="preserve">N690LS  </v>
      </c>
      <c r="BC1194">
        <v>1</v>
      </c>
      <c r="BE1194">
        <v>0</v>
      </c>
      <c r="BF1194">
        <v>0</v>
      </c>
      <c r="BG1194">
        <v>0</v>
      </c>
      <c r="BH1194">
        <v>15700</v>
      </c>
      <c r="BI1194">
        <v>1</v>
      </c>
      <c r="BJ1194">
        <v>1</v>
      </c>
      <c r="BK1194">
        <v>1</v>
      </c>
      <c r="BL1194">
        <v>0</v>
      </c>
      <c r="BO1194">
        <v>0</v>
      </c>
      <c r="BP1194">
        <v>0</v>
      </c>
      <c r="BW1194" t="str">
        <f>"14:00:26.067"</f>
        <v>14:00:26.067</v>
      </c>
      <c r="CJ1194">
        <v>0</v>
      </c>
      <c r="CK1194">
        <v>2</v>
      </c>
      <c r="CL1194">
        <v>0</v>
      </c>
      <c r="CM1194">
        <v>2</v>
      </c>
      <c r="CN1194">
        <v>0</v>
      </c>
      <c r="CO1194">
        <v>7</v>
      </c>
      <c r="CP1194" t="s">
        <v>119</v>
      </c>
      <c r="CQ1194">
        <v>209</v>
      </c>
      <c r="CR1194">
        <v>3</v>
      </c>
      <c r="CW1194">
        <v>7300097</v>
      </c>
      <c r="CY1194">
        <v>1</v>
      </c>
      <c r="CZ1194">
        <v>0</v>
      </c>
      <c r="DA1194">
        <v>1</v>
      </c>
      <c r="DB1194">
        <v>0</v>
      </c>
      <c r="DC1194">
        <v>0</v>
      </c>
      <c r="DD1194">
        <v>1</v>
      </c>
      <c r="DE1194">
        <v>0</v>
      </c>
      <c r="DF1194">
        <v>0</v>
      </c>
      <c r="DG1194">
        <v>0</v>
      </c>
      <c r="DH1194">
        <v>0</v>
      </c>
      <c r="DI1194">
        <v>0</v>
      </c>
    </row>
    <row r="1195" spans="1:113" x14ac:dyDescent="0.3">
      <c r="A1195" t="str">
        <f>"09/28/2021 14:00:27.418"</f>
        <v>09/28/2021 14:00:27.418</v>
      </c>
      <c r="C1195" t="str">
        <f t="shared" si="59"/>
        <v>FFDFD3C0</v>
      </c>
      <c r="D1195" t="s">
        <v>120</v>
      </c>
      <c r="E1195">
        <v>12</v>
      </c>
      <c r="F1195">
        <v>1012</v>
      </c>
      <c r="G1195" t="s">
        <v>114</v>
      </c>
      <c r="J1195" t="s">
        <v>121</v>
      </c>
      <c r="K1195">
        <v>0</v>
      </c>
      <c r="L1195">
        <v>3</v>
      </c>
      <c r="M1195">
        <v>0</v>
      </c>
      <c r="N1195">
        <v>2</v>
      </c>
      <c r="O1195">
        <v>1</v>
      </c>
      <c r="P1195">
        <v>0</v>
      </c>
      <c r="Q1195">
        <v>0</v>
      </c>
      <c r="S1195" t="str">
        <f>"14:00:27.172"</f>
        <v>14:00:27.172</v>
      </c>
      <c r="T1195" t="str">
        <f>"14:00:26.672"</f>
        <v>14:00:26.672</v>
      </c>
      <c r="U1195" t="str">
        <f t="shared" si="58"/>
        <v>A92BC1</v>
      </c>
      <c r="V1195">
        <v>0</v>
      </c>
      <c r="W1195">
        <v>0</v>
      </c>
      <c r="X1195">
        <v>2</v>
      </c>
      <c r="Z1195">
        <v>0</v>
      </c>
      <c r="AA1195">
        <v>9</v>
      </c>
      <c r="AB1195">
        <v>3</v>
      </c>
      <c r="AC1195">
        <v>0</v>
      </c>
      <c r="AD1195">
        <v>10</v>
      </c>
      <c r="AE1195">
        <v>0</v>
      </c>
      <c r="AF1195">
        <v>3</v>
      </c>
      <c r="AG1195">
        <v>2</v>
      </c>
      <c r="AH1195">
        <v>0</v>
      </c>
      <c r="AI1195" t="s">
        <v>1296</v>
      </c>
      <c r="AJ1195">
        <v>45.922722999999998</v>
      </c>
      <c r="AK1195" t="s">
        <v>1297</v>
      </c>
      <c r="AL1195">
        <v>-89.039640000000006</v>
      </c>
      <c r="AM1195">
        <v>100</v>
      </c>
      <c r="AN1195">
        <v>15200</v>
      </c>
      <c r="AO1195" t="s">
        <v>118</v>
      </c>
      <c r="AP1195">
        <v>85</v>
      </c>
      <c r="AQ1195">
        <v>62</v>
      </c>
      <c r="AR1195">
        <v>-640</v>
      </c>
      <c r="AZ1195">
        <v>1200</v>
      </c>
      <c r="BA1195">
        <v>1</v>
      </c>
      <c r="BB1195" t="str">
        <f t="shared" si="60"/>
        <v xml:space="preserve">N690LS  </v>
      </c>
      <c r="BC1195">
        <v>1</v>
      </c>
      <c r="BE1195">
        <v>0</v>
      </c>
      <c r="BF1195">
        <v>0</v>
      </c>
      <c r="BG1195">
        <v>0</v>
      </c>
      <c r="BH1195">
        <v>15675</v>
      </c>
      <c r="BI1195">
        <v>1</v>
      </c>
      <c r="BJ1195">
        <v>1</v>
      </c>
      <c r="BK1195">
        <v>1</v>
      </c>
      <c r="BL1195">
        <v>0</v>
      </c>
      <c r="BO1195">
        <v>0</v>
      </c>
      <c r="BP1195">
        <v>0</v>
      </c>
      <c r="BW1195" t="str">
        <f>"14:00:27.178"</f>
        <v>14:00:27.178</v>
      </c>
      <c r="CJ1195">
        <v>0</v>
      </c>
      <c r="CK1195">
        <v>2</v>
      </c>
      <c r="CL1195">
        <v>0</v>
      </c>
      <c r="CM1195">
        <v>2</v>
      </c>
      <c r="CN1195">
        <v>0</v>
      </c>
      <c r="CO1195">
        <v>7</v>
      </c>
      <c r="CP1195" t="s">
        <v>119</v>
      </c>
      <c r="CQ1195">
        <v>197</v>
      </c>
      <c r="CR1195">
        <v>1</v>
      </c>
      <c r="CW1195">
        <v>7641607</v>
      </c>
      <c r="CY1195">
        <v>1</v>
      </c>
      <c r="CZ1195">
        <v>0</v>
      </c>
      <c r="DA1195">
        <v>0</v>
      </c>
      <c r="DB1195">
        <v>0</v>
      </c>
      <c r="DC1195">
        <v>0</v>
      </c>
      <c r="DD1195">
        <v>1</v>
      </c>
      <c r="DE1195">
        <v>0</v>
      </c>
      <c r="DF1195">
        <v>0</v>
      </c>
      <c r="DG1195">
        <v>0</v>
      </c>
      <c r="DH1195">
        <v>0</v>
      </c>
      <c r="DI1195">
        <v>0</v>
      </c>
    </row>
    <row r="1196" spans="1:113" x14ac:dyDescent="0.3">
      <c r="A1196" t="str">
        <f>"09/28/2021 14:00:27.418"</f>
        <v>09/28/2021 14:00:27.418</v>
      </c>
      <c r="C1196" t="str">
        <f t="shared" si="59"/>
        <v>FFDFD3C0</v>
      </c>
      <c r="D1196" t="s">
        <v>113</v>
      </c>
      <c r="E1196">
        <v>7</v>
      </c>
      <c r="H1196">
        <v>170</v>
      </c>
      <c r="I1196" t="s">
        <v>114</v>
      </c>
      <c r="J1196" t="s">
        <v>115</v>
      </c>
      <c r="K1196">
        <v>0</v>
      </c>
      <c r="L1196">
        <v>3</v>
      </c>
      <c r="M1196">
        <v>0</v>
      </c>
      <c r="N1196">
        <v>2</v>
      </c>
      <c r="O1196">
        <v>1</v>
      </c>
      <c r="P1196">
        <v>0</v>
      </c>
      <c r="Q1196">
        <v>0</v>
      </c>
      <c r="S1196" t="str">
        <f>"14:00:27.172"</f>
        <v>14:00:27.172</v>
      </c>
      <c r="T1196" t="str">
        <f>"14:00:26.672"</f>
        <v>14:00:26.672</v>
      </c>
      <c r="U1196" t="str">
        <f t="shared" si="58"/>
        <v>A92BC1</v>
      </c>
      <c r="V1196">
        <v>0</v>
      </c>
      <c r="W1196">
        <v>0</v>
      </c>
      <c r="X1196">
        <v>2</v>
      </c>
      <c r="Z1196">
        <v>0</v>
      </c>
      <c r="AA1196">
        <v>9</v>
      </c>
      <c r="AB1196">
        <v>3</v>
      </c>
      <c r="AC1196">
        <v>0</v>
      </c>
      <c r="AD1196">
        <v>10</v>
      </c>
      <c r="AE1196">
        <v>0</v>
      </c>
      <c r="AF1196">
        <v>3</v>
      </c>
      <c r="AG1196">
        <v>2</v>
      </c>
      <c r="AH1196">
        <v>0</v>
      </c>
      <c r="AI1196" t="s">
        <v>1296</v>
      </c>
      <c r="AJ1196">
        <v>45.922722999999998</v>
      </c>
      <c r="AK1196" t="s">
        <v>1297</v>
      </c>
      <c r="AL1196">
        <v>-89.039640000000006</v>
      </c>
      <c r="AM1196">
        <v>100</v>
      </c>
      <c r="AN1196">
        <v>15200</v>
      </c>
      <c r="AO1196" t="s">
        <v>118</v>
      </c>
      <c r="AP1196">
        <v>85</v>
      </c>
      <c r="AQ1196">
        <v>62</v>
      </c>
      <c r="AR1196">
        <v>-640</v>
      </c>
      <c r="AZ1196">
        <v>1200</v>
      </c>
      <c r="BA1196">
        <v>1</v>
      </c>
      <c r="BB1196" t="str">
        <f t="shared" si="60"/>
        <v xml:space="preserve">N690LS  </v>
      </c>
      <c r="BC1196">
        <v>1</v>
      </c>
      <c r="BE1196">
        <v>0</v>
      </c>
      <c r="BF1196">
        <v>0</v>
      </c>
      <c r="BG1196">
        <v>0</v>
      </c>
      <c r="BH1196">
        <v>15675</v>
      </c>
      <c r="BI1196">
        <v>1</v>
      </c>
      <c r="BJ1196">
        <v>1</v>
      </c>
      <c r="BK1196">
        <v>1</v>
      </c>
      <c r="BL1196">
        <v>0</v>
      </c>
      <c r="BO1196">
        <v>0</v>
      </c>
      <c r="BP1196">
        <v>0</v>
      </c>
      <c r="BW1196" t="str">
        <f>"14:00:27.178"</f>
        <v>14:00:27.178</v>
      </c>
      <c r="CJ1196">
        <v>0</v>
      </c>
      <c r="CK1196">
        <v>2</v>
      </c>
      <c r="CL1196">
        <v>0</v>
      </c>
      <c r="CM1196">
        <v>2</v>
      </c>
      <c r="CN1196">
        <v>0</v>
      </c>
      <c r="CO1196">
        <v>7</v>
      </c>
      <c r="CP1196" t="s">
        <v>119</v>
      </c>
      <c r="CQ1196">
        <v>197</v>
      </c>
      <c r="CR1196">
        <v>1</v>
      </c>
      <c r="CW1196">
        <v>7641607</v>
      </c>
      <c r="CY1196">
        <v>1</v>
      </c>
      <c r="CZ1196">
        <v>0</v>
      </c>
      <c r="DA1196">
        <v>1</v>
      </c>
      <c r="DB1196">
        <v>0</v>
      </c>
      <c r="DC1196">
        <v>0</v>
      </c>
      <c r="DD1196">
        <v>1</v>
      </c>
      <c r="DE1196">
        <v>0</v>
      </c>
      <c r="DF1196">
        <v>0</v>
      </c>
      <c r="DG1196">
        <v>0</v>
      </c>
      <c r="DH1196">
        <v>0</v>
      </c>
      <c r="DI1196">
        <v>0</v>
      </c>
    </row>
    <row r="1197" spans="1:113" x14ac:dyDescent="0.3">
      <c r="A1197" t="str">
        <f>"09/28/2021 14:00:28.246"</f>
        <v>09/28/2021 14:00:28.246</v>
      </c>
      <c r="C1197" t="str">
        <f t="shared" si="59"/>
        <v>FFDFD3C0</v>
      </c>
      <c r="D1197" t="s">
        <v>120</v>
      </c>
      <c r="E1197">
        <v>12</v>
      </c>
      <c r="F1197">
        <v>1012</v>
      </c>
      <c r="G1197" t="s">
        <v>114</v>
      </c>
      <c r="J1197" t="s">
        <v>121</v>
      </c>
      <c r="K1197">
        <v>0</v>
      </c>
      <c r="L1197">
        <v>3</v>
      </c>
      <c r="M1197">
        <v>0</v>
      </c>
      <c r="N1197">
        <v>2</v>
      </c>
      <c r="O1197">
        <v>1</v>
      </c>
      <c r="P1197">
        <v>0</v>
      </c>
      <c r="Q1197">
        <v>0</v>
      </c>
      <c r="S1197" t="str">
        <f>"14:00:28.008"</f>
        <v>14:00:28.008</v>
      </c>
      <c r="T1197" t="str">
        <f>"14:00:27.608"</f>
        <v>14:00:27.608</v>
      </c>
      <c r="U1197" t="str">
        <f t="shared" si="58"/>
        <v>A92BC1</v>
      </c>
      <c r="V1197">
        <v>0</v>
      </c>
      <c r="W1197">
        <v>0</v>
      </c>
      <c r="X1197">
        <v>2</v>
      </c>
      <c r="Z1197">
        <v>0</v>
      </c>
      <c r="AA1197">
        <v>9</v>
      </c>
      <c r="AB1197">
        <v>3</v>
      </c>
      <c r="AC1197">
        <v>0</v>
      </c>
      <c r="AD1197">
        <v>10</v>
      </c>
      <c r="AE1197">
        <v>0</v>
      </c>
      <c r="AF1197">
        <v>3</v>
      </c>
      <c r="AG1197">
        <v>2</v>
      </c>
      <c r="AH1197">
        <v>0</v>
      </c>
      <c r="AI1197" t="s">
        <v>1298</v>
      </c>
      <c r="AJ1197">
        <v>45.922936999999997</v>
      </c>
      <c r="AK1197" t="s">
        <v>1299</v>
      </c>
      <c r="AL1197">
        <v>-89.039168000000004</v>
      </c>
      <c r="AM1197">
        <v>100</v>
      </c>
      <c r="AN1197">
        <v>15200</v>
      </c>
      <c r="AO1197" t="s">
        <v>118</v>
      </c>
      <c r="AP1197">
        <v>84</v>
      </c>
      <c r="AQ1197">
        <v>62</v>
      </c>
      <c r="AR1197">
        <v>-640</v>
      </c>
      <c r="AZ1197">
        <v>1200</v>
      </c>
      <c r="BA1197">
        <v>1</v>
      </c>
      <c r="BB1197" t="str">
        <f t="shared" si="60"/>
        <v xml:space="preserve">N690LS  </v>
      </c>
      <c r="BC1197">
        <v>1</v>
      </c>
      <c r="BE1197">
        <v>0</v>
      </c>
      <c r="BF1197">
        <v>0</v>
      </c>
      <c r="BG1197">
        <v>0</v>
      </c>
      <c r="BH1197">
        <v>15675</v>
      </c>
      <c r="BI1197">
        <v>1</v>
      </c>
      <c r="BJ1197">
        <v>1</v>
      </c>
      <c r="BK1197">
        <v>1</v>
      </c>
      <c r="BL1197">
        <v>0</v>
      </c>
      <c r="BO1197">
        <v>0</v>
      </c>
      <c r="BP1197">
        <v>0</v>
      </c>
      <c r="BW1197" t="str">
        <f>"14:00:28.011"</f>
        <v>14:00:28.011</v>
      </c>
      <c r="CJ1197">
        <v>0</v>
      </c>
      <c r="CK1197">
        <v>2</v>
      </c>
      <c r="CL1197">
        <v>0</v>
      </c>
      <c r="CM1197">
        <v>2</v>
      </c>
      <c r="CN1197">
        <v>0</v>
      </c>
      <c r="CO1197">
        <v>7</v>
      </c>
      <c r="CP1197" t="s">
        <v>119</v>
      </c>
      <c r="CQ1197">
        <v>209</v>
      </c>
      <c r="CR1197">
        <v>3</v>
      </c>
      <c r="CW1197">
        <v>7300902</v>
      </c>
      <c r="CY1197">
        <v>1</v>
      </c>
      <c r="CZ1197">
        <v>0</v>
      </c>
      <c r="DA1197">
        <v>0</v>
      </c>
      <c r="DB1197">
        <v>0</v>
      </c>
      <c r="DC1197">
        <v>0</v>
      </c>
      <c r="DD1197">
        <v>1</v>
      </c>
      <c r="DE1197">
        <v>0</v>
      </c>
      <c r="DF1197">
        <v>0</v>
      </c>
      <c r="DG1197">
        <v>0</v>
      </c>
      <c r="DH1197">
        <v>0</v>
      </c>
      <c r="DI1197">
        <v>0</v>
      </c>
    </row>
    <row r="1198" spans="1:113" x14ac:dyDescent="0.3">
      <c r="A1198" t="str">
        <f>"09/28/2021 14:00:28.246"</f>
        <v>09/28/2021 14:00:28.246</v>
      </c>
      <c r="C1198" t="str">
        <f t="shared" si="59"/>
        <v>FFDFD3C0</v>
      </c>
      <c r="D1198" t="s">
        <v>113</v>
      </c>
      <c r="E1198">
        <v>7</v>
      </c>
      <c r="H1198">
        <v>170</v>
      </c>
      <c r="I1198" t="s">
        <v>114</v>
      </c>
      <c r="J1198" t="s">
        <v>115</v>
      </c>
      <c r="K1198">
        <v>0</v>
      </c>
      <c r="L1198">
        <v>3</v>
      </c>
      <c r="M1198">
        <v>0</v>
      </c>
      <c r="N1198">
        <v>2</v>
      </c>
      <c r="O1198">
        <v>1</v>
      </c>
      <c r="P1198">
        <v>0</v>
      </c>
      <c r="Q1198">
        <v>0</v>
      </c>
      <c r="S1198" t="str">
        <f>"14:00:28.008"</f>
        <v>14:00:28.008</v>
      </c>
      <c r="T1198" t="str">
        <f>"14:00:27.608"</f>
        <v>14:00:27.608</v>
      </c>
      <c r="U1198" t="str">
        <f t="shared" si="58"/>
        <v>A92BC1</v>
      </c>
      <c r="V1198">
        <v>0</v>
      </c>
      <c r="W1198">
        <v>0</v>
      </c>
      <c r="X1198">
        <v>2</v>
      </c>
      <c r="Z1198">
        <v>0</v>
      </c>
      <c r="AA1198">
        <v>9</v>
      </c>
      <c r="AB1198">
        <v>3</v>
      </c>
      <c r="AC1198">
        <v>0</v>
      </c>
      <c r="AD1198">
        <v>10</v>
      </c>
      <c r="AE1198">
        <v>0</v>
      </c>
      <c r="AF1198">
        <v>3</v>
      </c>
      <c r="AG1198">
        <v>2</v>
      </c>
      <c r="AH1198">
        <v>0</v>
      </c>
      <c r="AI1198" t="s">
        <v>1298</v>
      </c>
      <c r="AJ1198">
        <v>45.922936999999997</v>
      </c>
      <c r="AK1198" t="s">
        <v>1299</v>
      </c>
      <c r="AL1198">
        <v>-89.039168000000004</v>
      </c>
      <c r="AM1198">
        <v>100</v>
      </c>
      <c r="AN1198">
        <v>15200</v>
      </c>
      <c r="AO1198" t="s">
        <v>118</v>
      </c>
      <c r="AP1198">
        <v>84</v>
      </c>
      <c r="AQ1198">
        <v>62</v>
      </c>
      <c r="AR1198">
        <v>-640</v>
      </c>
      <c r="AZ1198">
        <v>1200</v>
      </c>
      <c r="BA1198">
        <v>1</v>
      </c>
      <c r="BB1198" t="str">
        <f t="shared" si="60"/>
        <v xml:space="preserve">N690LS  </v>
      </c>
      <c r="BC1198">
        <v>1</v>
      </c>
      <c r="BE1198">
        <v>0</v>
      </c>
      <c r="BF1198">
        <v>0</v>
      </c>
      <c r="BG1198">
        <v>0</v>
      </c>
      <c r="BH1198">
        <v>15675</v>
      </c>
      <c r="BI1198">
        <v>1</v>
      </c>
      <c r="BJ1198">
        <v>1</v>
      </c>
      <c r="BK1198">
        <v>1</v>
      </c>
      <c r="BL1198">
        <v>0</v>
      </c>
      <c r="BO1198">
        <v>0</v>
      </c>
      <c r="BP1198">
        <v>0</v>
      </c>
      <c r="BW1198" t="str">
        <f>"14:00:28.011"</f>
        <v>14:00:28.011</v>
      </c>
      <c r="CJ1198">
        <v>0</v>
      </c>
      <c r="CK1198">
        <v>2</v>
      </c>
      <c r="CL1198">
        <v>0</v>
      </c>
      <c r="CM1198">
        <v>2</v>
      </c>
      <c r="CN1198">
        <v>0</v>
      </c>
      <c r="CO1198">
        <v>7</v>
      </c>
      <c r="CP1198" t="s">
        <v>119</v>
      </c>
      <c r="CQ1198">
        <v>209</v>
      </c>
      <c r="CR1198">
        <v>3</v>
      </c>
      <c r="CW1198">
        <v>7300902</v>
      </c>
      <c r="CY1198">
        <v>1</v>
      </c>
      <c r="CZ1198">
        <v>0</v>
      </c>
      <c r="DA1198">
        <v>1</v>
      </c>
      <c r="DB1198">
        <v>0</v>
      </c>
      <c r="DC1198">
        <v>0</v>
      </c>
      <c r="DD1198">
        <v>1</v>
      </c>
      <c r="DE1198">
        <v>0</v>
      </c>
      <c r="DF1198">
        <v>0</v>
      </c>
      <c r="DG1198">
        <v>0</v>
      </c>
      <c r="DH1198">
        <v>0</v>
      </c>
      <c r="DI1198">
        <v>0</v>
      </c>
    </row>
    <row r="1199" spans="1:113" x14ac:dyDescent="0.3">
      <c r="A1199" t="str">
        <f>"09/28/2021 14:00:29.309"</f>
        <v>09/28/2021 14:00:29.309</v>
      </c>
      <c r="C1199" t="str">
        <f t="shared" si="59"/>
        <v>FFDFD3C0</v>
      </c>
      <c r="D1199" t="s">
        <v>120</v>
      </c>
      <c r="E1199">
        <v>12</v>
      </c>
      <c r="F1199">
        <v>1012</v>
      </c>
      <c r="G1199" t="s">
        <v>114</v>
      </c>
      <c r="J1199" t="s">
        <v>121</v>
      </c>
      <c r="K1199">
        <v>0</v>
      </c>
      <c r="L1199">
        <v>3</v>
      </c>
      <c r="M1199">
        <v>0</v>
      </c>
      <c r="N1199">
        <v>2</v>
      </c>
      <c r="O1199">
        <v>1</v>
      </c>
      <c r="P1199">
        <v>0</v>
      </c>
      <c r="Q1199">
        <v>0</v>
      </c>
      <c r="S1199" t="str">
        <f>"14:00:29.086"</f>
        <v>14:00:29.086</v>
      </c>
      <c r="T1199" t="str">
        <f>"14:00:28.586"</f>
        <v>14:00:28.586</v>
      </c>
      <c r="U1199" t="str">
        <f t="shared" si="58"/>
        <v>A92BC1</v>
      </c>
      <c r="V1199">
        <v>0</v>
      </c>
      <c r="W1199">
        <v>0</v>
      </c>
      <c r="X1199">
        <v>2</v>
      </c>
      <c r="Z1199">
        <v>0</v>
      </c>
      <c r="AA1199">
        <v>9</v>
      </c>
      <c r="AB1199">
        <v>3</v>
      </c>
      <c r="AC1199">
        <v>0</v>
      </c>
      <c r="AD1199">
        <v>10</v>
      </c>
      <c r="AE1199">
        <v>0</v>
      </c>
      <c r="AF1199">
        <v>3</v>
      </c>
      <c r="AG1199">
        <v>2</v>
      </c>
      <c r="AH1199">
        <v>0</v>
      </c>
      <c r="AI1199" t="s">
        <v>1300</v>
      </c>
      <c r="AJ1199">
        <v>45.923215999999996</v>
      </c>
      <c r="AK1199" t="s">
        <v>1301</v>
      </c>
      <c r="AL1199">
        <v>-89.038567999999998</v>
      </c>
      <c r="AM1199">
        <v>100</v>
      </c>
      <c r="AN1199">
        <v>15100</v>
      </c>
      <c r="AO1199" t="s">
        <v>118</v>
      </c>
      <c r="AP1199">
        <v>83</v>
      </c>
      <c r="AQ1199">
        <v>61</v>
      </c>
      <c r="AR1199">
        <v>-640</v>
      </c>
      <c r="AZ1199">
        <v>1200</v>
      </c>
      <c r="BA1199">
        <v>1</v>
      </c>
      <c r="BB1199" t="str">
        <f t="shared" si="60"/>
        <v xml:space="preserve">N690LS  </v>
      </c>
      <c r="BC1199">
        <v>1</v>
      </c>
      <c r="BE1199">
        <v>0</v>
      </c>
      <c r="BF1199">
        <v>0</v>
      </c>
      <c r="BG1199">
        <v>0</v>
      </c>
      <c r="BH1199">
        <v>15650</v>
      </c>
      <c r="BI1199">
        <v>1</v>
      </c>
      <c r="BJ1199">
        <v>1</v>
      </c>
      <c r="BK1199">
        <v>1</v>
      </c>
      <c r="BL1199">
        <v>0</v>
      </c>
      <c r="BO1199">
        <v>0</v>
      </c>
      <c r="BP1199">
        <v>0</v>
      </c>
      <c r="BW1199" t="str">
        <f>"14:00:29.092"</f>
        <v>14:00:29.092</v>
      </c>
      <c r="CJ1199">
        <v>0</v>
      </c>
      <c r="CK1199">
        <v>2</v>
      </c>
      <c r="CL1199">
        <v>0</v>
      </c>
      <c r="CM1199">
        <v>2</v>
      </c>
      <c r="CN1199">
        <v>0</v>
      </c>
      <c r="CO1199">
        <v>7</v>
      </c>
      <c r="CP1199" t="s">
        <v>119</v>
      </c>
      <c r="CQ1199">
        <v>209</v>
      </c>
      <c r="CR1199">
        <v>3</v>
      </c>
      <c r="CW1199">
        <v>7301314</v>
      </c>
      <c r="CY1199">
        <v>1</v>
      </c>
      <c r="CZ1199">
        <v>0</v>
      </c>
      <c r="DA1199">
        <v>0</v>
      </c>
      <c r="DB1199">
        <v>0</v>
      </c>
      <c r="DC1199">
        <v>0</v>
      </c>
      <c r="DD1199">
        <v>1</v>
      </c>
      <c r="DE1199">
        <v>0</v>
      </c>
      <c r="DF1199">
        <v>0</v>
      </c>
      <c r="DG1199">
        <v>0</v>
      </c>
      <c r="DH1199">
        <v>0</v>
      </c>
      <c r="DI1199">
        <v>0</v>
      </c>
    </row>
    <row r="1200" spans="1:113" x14ac:dyDescent="0.3">
      <c r="A1200" t="str">
        <f>"09/28/2021 14:00:29.309"</f>
        <v>09/28/2021 14:00:29.309</v>
      </c>
      <c r="C1200" t="str">
        <f t="shared" si="59"/>
        <v>FFDFD3C0</v>
      </c>
      <c r="D1200" t="s">
        <v>113</v>
      </c>
      <c r="E1200">
        <v>7</v>
      </c>
      <c r="H1200">
        <v>170</v>
      </c>
      <c r="I1200" t="s">
        <v>114</v>
      </c>
      <c r="J1200" t="s">
        <v>115</v>
      </c>
      <c r="K1200">
        <v>0</v>
      </c>
      <c r="L1200">
        <v>3</v>
      </c>
      <c r="M1200">
        <v>0</v>
      </c>
      <c r="N1200">
        <v>2</v>
      </c>
      <c r="O1200">
        <v>1</v>
      </c>
      <c r="P1200">
        <v>0</v>
      </c>
      <c r="Q1200">
        <v>0</v>
      </c>
      <c r="S1200" t="str">
        <f>"14:00:29.086"</f>
        <v>14:00:29.086</v>
      </c>
      <c r="T1200" t="str">
        <f>"14:00:28.586"</f>
        <v>14:00:28.586</v>
      </c>
      <c r="U1200" t="str">
        <f t="shared" si="58"/>
        <v>A92BC1</v>
      </c>
      <c r="V1200">
        <v>0</v>
      </c>
      <c r="W1200">
        <v>0</v>
      </c>
      <c r="X1200">
        <v>2</v>
      </c>
      <c r="Z1200">
        <v>0</v>
      </c>
      <c r="AA1200">
        <v>9</v>
      </c>
      <c r="AB1200">
        <v>3</v>
      </c>
      <c r="AC1200">
        <v>0</v>
      </c>
      <c r="AD1200">
        <v>10</v>
      </c>
      <c r="AE1200">
        <v>0</v>
      </c>
      <c r="AF1200">
        <v>3</v>
      </c>
      <c r="AG1200">
        <v>2</v>
      </c>
      <c r="AH1200">
        <v>0</v>
      </c>
      <c r="AI1200" t="s">
        <v>1300</v>
      </c>
      <c r="AJ1200">
        <v>45.923215999999996</v>
      </c>
      <c r="AK1200" t="s">
        <v>1301</v>
      </c>
      <c r="AL1200">
        <v>-89.038567999999998</v>
      </c>
      <c r="AM1200">
        <v>100</v>
      </c>
      <c r="AN1200">
        <v>15100</v>
      </c>
      <c r="AO1200" t="s">
        <v>118</v>
      </c>
      <c r="AP1200">
        <v>83</v>
      </c>
      <c r="AQ1200">
        <v>61</v>
      </c>
      <c r="AR1200">
        <v>-640</v>
      </c>
      <c r="AZ1200">
        <v>1200</v>
      </c>
      <c r="BA1200">
        <v>1</v>
      </c>
      <c r="BB1200" t="str">
        <f t="shared" si="60"/>
        <v xml:space="preserve">N690LS  </v>
      </c>
      <c r="BC1200">
        <v>1</v>
      </c>
      <c r="BE1200">
        <v>0</v>
      </c>
      <c r="BF1200">
        <v>0</v>
      </c>
      <c r="BG1200">
        <v>0</v>
      </c>
      <c r="BH1200">
        <v>15650</v>
      </c>
      <c r="BI1200">
        <v>1</v>
      </c>
      <c r="BJ1200">
        <v>1</v>
      </c>
      <c r="BK1200">
        <v>1</v>
      </c>
      <c r="BL1200">
        <v>0</v>
      </c>
      <c r="BO1200">
        <v>0</v>
      </c>
      <c r="BP1200">
        <v>0</v>
      </c>
      <c r="BW1200" t="str">
        <f>"14:00:29.092"</f>
        <v>14:00:29.092</v>
      </c>
      <c r="CJ1200">
        <v>0</v>
      </c>
      <c r="CK1200">
        <v>2</v>
      </c>
      <c r="CL1200">
        <v>0</v>
      </c>
      <c r="CM1200">
        <v>2</v>
      </c>
      <c r="CN1200">
        <v>0</v>
      </c>
      <c r="CO1200">
        <v>7</v>
      </c>
      <c r="CP1200" t="s">
        <v>119</v>
      </c>
      <c r="CQ1200">
        <v>209</v>
      </c>
      <c r="CR1200">
        <v>3</v>
      </c>
      <c r="CW1200">
        <v>7301314</v>
      </c>
      <c r="CY1200">
        <v>1</v>
      </c>
      <c r="CZ1200">
        <v>0</v>
      </c>
      <c r="DA1200">
        <v>1</v>
      </c>
      <c r="DB1200">
        <v>0</v>
      </c>
      <c r="DC1200">
        <v>0</v>
      </c>
      <c r="DD1200">
        <v>1</v>
      </c>
      <c r="DE1200">
        <v>0</v>
      </c>
      <c r="DF1200">
        <v>0</v>
      </c>
      <c r="DG1200">
        <v>0</v>
      </c>
      <c r="DH1200">
        <v>0</v>
      </c>
      <c r="DI1200">
        <v>0</v>
      </c>
    </row>
    <row r="1201" spans="1:113" x14ac:dyDescent="0.3">
      <c r="A1201" t="str">
        <f>"09/28/2021 14:00:30.175"</f>
        <v>09/28/2021 14:00:30.175</v>
      </c>
      <c r="C1201" t="str">
        <f t="shared" si="59"/>
        <v>FFDFD3C0</v>
      </c>
      <c r="D1201" t="s">
        <v>113</v>
      </c>
      <c r="E1201">
        <v>7</v>
      </c>
      <c r="H1201">
        <v>170</v>
      </c>
      <c r="I1201" t="s">
        <v>114</v>
      </c>
      <c r="J1201" t="s">
        <v>115</v>
      </c>
      <c r="K1201">
        <v>0</v>
      </c>
      <c r="L1201">
        <v>3</v>
      </c>
      <c r="M1201">
        <v>0</v>
      </c>
      <c r="N1201">
        <v>2</v>
      </c>
      <c r="O1201">
        <v>1</v>
      </c>
      <c r="P1201">
        <v>0</v>
      </c>
      <c r="Q1201">
        <v>0</v>
      </c>
      <c r="S1201" t="str">
        <f>"14:00:29.984"</f>
        <v>14:00:29.984</v>
      </c>
      <c r="T1201" t="str">
        <f>"14:00:29.584"</f>
        <v>14:00:29.584</v>
      </c>
      <c r="U1201" t="str">
        <f t="shared" si="58"/>
        <v>A92BC1</v>
      </c>
      <c r="V1201">
        <v>0</v>
      </c>
      <c r="W1201">
        <v>0</v>
      </c>
      <c r="X1201">
        <v>2</v>
      </c>
      <c r="Z1201">
        <v>0</v>
      </c>
      <c r="AA1201">
        <v>9</v>
      </c>
      <c r="AB1201">
        <v>3</v>
      </c>
      <c r="AC1201">
        <v>0</v>
      </c>
      <c r="AD1201">
        <v>10</v>
      </c>
      <c r="AE1201">
        <v>0</v>
      </c>
      <c r="AF1201">
        <v>3</v>
      </c>
      <c r="AG1201">
        <v>2</v>
      </c>
      <c r="AH1201">
        <v>0</v>
      </c>
      <c r="AI1201" t="s">
        <v>1302</v>
      </c>
      <c r="AJ1201">
        <v>45.923495000000003</v>
      </c>
      <c r="AK1201" t="s">
        <v>1303</v>
      </c>
      <c r="AL1201">
        <v>-89.038031000000004</v>
      </c>
      <c r="AM1201">
        <v>100</v>
      </c>
      <c r="AN1201">
        <v>15100</v>
      </c>
      <c r="AO1201" t="s">
        <v>118</v>
      </c>
      <c r="AP1201">
        <v>83</v>
      </c>
      <c r="AQ1201">
        <v>59</v>
      </c>
      <c r="AR1201">
        <v>-640</v>
      </c>
      <c r="AZ1201">
        <v>1200</v>
      </c>
      <c r="BA1201">
        <v>1</v>
      </c>
      <c r="BB1201" t="str">
        <f t="shared" si="60"/>
        <v xml:space="preserve">N690LS  </v>
      </c>
      <c r="BC1201">
        <v>1</v>
      </c>
      <c r="BE1201">
        <v>0</v>
      </c>
      <c r="BF1201">
        <v>0</v>
      </c>
      <c r="BG1201">
        <v>0</v>
      </c>
      <c r="BH1201">
        <v>15650</v>
      </c>
      <c r="BI1201">
        <v>1</v>
      </c>
      <c r="BJ1201">
        <v>1</v>
      </c>
      <c r="BK1201">
        <v>1</v>
      </c>
      <c r="BL1201">
        <v>0</v>
      </c>
      <c r="BO1201">
        <v>0</v>
      </c>
      <c r="BP1201">
        <v>0</v>
      </c>
      <c r="BW1201" t="str">
        <f>"14:00:29.985"</f>
        <v>14:00:29.985</v>
      </c>
      <c r="CJ1201">
        <v>0</v>
      </c>
      <c r="CK1201">
        <v>2</v>
      </c>
      <c r="CL1201">
        <v>0</v>
      </c>
      <c r="CM1201">
        <v>2</v>
      </c>
      <c r="CN1201">
        <v>0</v>
      </c>
      <c r="CO1201">
        <v>7</v>
      </c>
      <c r="CP1201" t="s">
        <v>119</v>
      </c>
      <c r="CQ1201">
        <v>197</v>
      </c>
      <c r="CR1201">
        <v>0</v>
      </c>
      <c r="CW1201">
        <v>16114304</v>
      </c>
      <c r="CY1201">
        <v>1</v>
      </c>
      <c r="CZ1201">
        <v>0</v>
      </c>
      <c r="DA1201">
        <v>0</v>
      </c>
      <c r="DB1201">
        <v>0</v>
      </c>
      <c r="DC1201">
        <v>0</v>
      </c>
      <c r="DD1201">
        <v>1</v>
      </c>
      <c r="DE1201">
        <v>0</v>
      </c>
      <c r="DF1201">
        <v>0</v>
      </c>
      <c r="DG1201">
        <v>0</v>
      </c>
      <c r="DH1201">
        <v>0</v>
      </c>
      <c r="DI1201">
        <v>0</v>
      </c>
    </row>
    <row r="1202" spans="1:113" x14ac:dyDescent="0.3">
      <c r="A1202" t="str">
        <f>"09/28/2021 14:00:30.175"</f>
        <v>09/28/2021 14:00:30.175</v>
      </c>
      <c r="C1202" t="str">
        <f t="shared" si="59"/>
        <v>FFDFD3C0</v>
      </c>
      <c r="D1202" t="s">
        <v>120</v>
      </c>
      <c r="E1202">
        <v>12</v>
      </c>
      <c r="F1202">
        <v>1012</v>
      </c>
      <c r="G1202" t="s">
        <v>114</v>
      </c>
      <c r="J1202" t="s">
        <v>121</v>
      </c>
      <c r="K1202">
        <v>0</v>
      </c>
      <c r="L1202">
        <v>3</v>
      </c>
      <c r="M1202">
        <v>0</v>
      </c>
      <c r="N1202">
        <v>2</v>
      </c>
      <c r="O1202">
        <v>1</v>
      </c>
      <c r="P1202">
        <v>0</v>
      </c>
      <c r="Q1202">
        <v>0</v>
      </c>
      <c r="S1202" t="str">
        <f>"14:00:29.984"</f>
        <v>14:00:29.984</v>
      </c>
      <c r="T1202" t="str">
        <f>"14:00:29.584"</f>
        <v>14:00:29.584</v>
      </c>
      <c r="U1202" t="str">
        <f t="shared" si="58"/>
        <v>A92BC1</v>
      </c>
      <c r="V1202">
        <v>0</v>
      </c>
      <c r="W1202">
        <v>0</v>
      </c>
      <c r="X1202">
        <v>2</v>
      </c>
      <c r="Z1202">
        <v>0</v>
      </c>
      <c r="AA1202">
        <v>9</v>
      </c>
      <c r="AB1202">
        <v>3</v>
      </c>
      <c r="AC1202">
        <v>0</v>
      </c>
      <c r="AD1202">
        <v>10</v>
      </c>
      <c r="AE1202">
        <v>0</v>
      </c>
      <c r="AF1202">
        <v>3</v>
      </c>
      <c r="AG1202">
        <v>2</v>
      </c>
      <c r="AH1202">
        <v>0</v>
      </c>
      <c r="AI1202" t="s">
        <v>1302</v>
      </c>
      <c r="AJ1202">
        <v>45.923495000000003</v>
      </c>
      <c r="AK1202" t="s">
        <v>1303</v>
      </c>
      <c r="AL1202">
        <v>-89.038031000000004</v>
      </c>
      <c r="AM1202">
        <v>100</v>
      </c>
      <c r="AN1202">
        <v>15100</v>
      </c>
      <c r="AO1202" t="s">
        <v>118</v>
      </c>
      <c r="AP1202">
        <v>83</v>
      </c>
      <c r="AQ1202">
        <v>59</v>
      </c>
      <c r="AR1202">
        <v>-640</v>
      </c>
      <c r="AZ1202">
        <v>1200</v>
      </c>
      <c r="BA1202">
        <v>1</v>
      </c>
      <c r="BB1202" t="str">
        <f t="shared" si="60"/>
        <v xml:space="preserve">N690LS  </v>
      </c>
      <c r="BC1202">
        <v>1</v>
      </c>
      <c r="BE1202">
        <v>0</v>
      </c>
      <c r="BF1202">
        <v>0</v>
      </c>
      <c r="BG1202">
        <v>0</v>
      </c>
      <c r="BH1202">
        <v>15650</v>
      </c>
      <c r="BI1202">
        <v>1</v>
      </c>
      <c r="BJ1202">
        <v>1</v>
      </c>
      <c r="BK1202">
        <v>1</v>
      </c>
      <c r="BL1202">
        <v>0</v>
      </c>
      <c r="BO1202">
        <v>0</v>
      </c>
      <c r="BP1202">
        <v>0</v>
      </c>
      <c r="BW1202" t="str">
        <f>"14:00:29.985"</f>
        <v>14:00:29.985</v>
      </c>
      <c r="CJ1202">
        <v>0</v>
      </c>
      <c r="CK1202">
        <v>2</v>
      </c>
      <c r="CL1202">
        <v>0</v>
      </c>
      <c r="CM1202">
        <v>2</v>
      </c>
      <c r="CN1202">
        <v>0</v>
      </c>
      <c r="CO1202">
        <v>7</v>
      </c>
      <c r="CP1202" t="s">
        <v>119</v>
      </c>
      <c r="CQ1202">
        <v>197</v>
      </c>
      <c r="CR1202">
        <v>0</v>
      </c>
      <c r="CW1202">
        <v>16114304</v>
      </c>
      <c r="CY1202">
        <v>1</v>
      </c>
      <c r="CZ1202">
        <v>0</v>
      </c>
      <c r="DA1202">
        <v>1</v>
      </c>
      <c r="DB1202">
        <v>0</v>
      </c>
      <c r="DC1202">
        <v>0</v>
      </c>
      <c r="DD1202">
        <v>1</v>
      </c>
      <c r="DE1202">
        <v>0</v>
      </c>
      <c r="DF1202">
        <v>0</v>
      </c>
      <c r="DG1202">
        <v>0</v>
      </c>
      <c r="DH1202">
        <v>0</v>
      </c>
      <c r="DI1202">
        <v>0</v>
      </c>
    </row>
    <row r="1203" spans="1:113" x14ac:dyDescent="0.3">
      <c r="A1203" t="str">
        <f>"09/28/2021 14:00:31.190"</f>
        <v>09/28/2021 14:00:31.190</v>
      </c>
      <c r="C1203" t="str">
        <f t="shared" si="59"/>
        <v>FFDFD3C0</v>
      </c>
      <c r="D1203" t="s">
        <v>113</v>
      </c>
      <c r="E1203">
        <v>7</v>
      </c>
      <c r="H1203">
        <v>170</v>
      </c>
      <c r="I1203" t="s">
        <v>114</v>
      </c>
      <c r="J1203" t="s">
        <v>115</v>
      </c>
      <c r="K1203">
        <v>0</v>
      </c>
      <c r="L1203">
        <v>3</v>
      </c>
      <c r="M1203">
        <v>0</v>
      </c>
      <c r="N1203">
        <v>2</v>
      </c>
      <c r="O1203">
        <v>1</v>
      </c>
      <c r="P1203">
        <v>0</v>
      </c>
      <c r="Q1203">
        <v>0</v>
      </c>
      <c r="S1203" t="str">
        <f>"14:00:31.008"</f>
        <v>14:00:31.008</v>
      </c>
      <c r="T1203" t="str">
        <f>"14:00:30.508"</f>
        <v>14:00:30.508</v>
      </c>
      <c r="U1203" t="str">
        <f t="shared" si="58"/>
        <v>A92BC1</v>
      </c>
      <c r="V1203">
        <v>0</v>
      </c>
      <c r="W1203">
        <v>0</v>
      </c>
      <c r="X1203">
        <v>2</v>
      </c>
      <c r="Z1203">
        <v>0</v>
      </c>
      <c r="AA1203">
        <v>9</v>
      </c>
      <c r="AB1203">
        <v>3</v>
      </c>
      <c r="AC1203">
        <v>0</v>
      </c>
      <c r="AD1203">
        <v>10</v>
      </c>
      <c r="AE1203">
        <v>0</v>
      </c>
      <c r="AF1203">
        <v>3</v>
      </c>
      <c r="AG1203">
        <v>2</v>
      </c>
      <c r="AH1203">
        <v>0</v>
      </c>
      <c r="AI1203" t="s">
        <v>1304</v>
      </c>
      <c r="AJ1203">
        <v>45.923730999999997</v>
      </c>
      <c r="AK1203" t="s">
        <v>1305</v>
      </c>
      <c r="AL1203">
        <v>-89.037495000000007</v>
      </c>
      <c r="AM1203">
        <v>100</v>
      </c>
      <c r="AN1203">
        <v>15100</v>
      </c>
      <c r="AO1203" t="s">
        <v>118</v>
      </c>
      <c r="AP1203">
        <v>82</v>
      </c>
      <c r="AQ1203">
        <v>58</v>
      </c>
      <c r="AR1203">
        <v>-640</v>
      </c>
      <c r="AZ1203">
        <v>1200</v>
      </c>
      <c r="BA1203">
        <v>1</v>
      </c>
      <c r="BB1203" t="str">
        <f t="shared" si="60"/>
        <v xml:space="preserve">N690LS  </v>
      </c>
      <c r="BC1203">
        <v>1</v>
      </c>
      <c r="BE1203">
        <v>0</v>
      </c>
      <c r="BF1203">
        <v>0</v>
      </c>
      <c r="BG1203">
        <v>0</v>
      </c>
      <c r="BH1203">
        <v>15650</v>
      </c>
      <c r="BI1203">
        <v>1</v>
      </c>
      <c r="BJ1203">
        <v>1</v>
      </c>
      <c r="BK1203">
        <v>1</v>
      </c>
      <c r="BL1203">
        <v>0</v>
      </c>
      <c r="BO1203">
        <v>0</v>
      </c>
      <c r="BP1203">
        <v>0</v>
      </c>
      <c r="BW1203" t="str">
        <f>"14:00:31.012"</f>
        <v>14:00:31.012</v>
      </c>
      <c r="CJ1203">
        <v>0</v>
      </c>
      <c r="CK1203">
        <v>2</v>
      </c>
      <c r="CL1203">
        <v>0</v>
      </c>
      <c r="CM1203">
        <v>2</v>
      </c>
      <c r="CN1203">
        <v>0</v>
      </c>
      <c r="CO1203">
        <v>7</v>
      </c>
      <c r="CP1203" t="s">
        <v>119</v>
      </c>
      <c r="CQ1203">
        <v>209</v>
      </c>
      <c r="CR1203">
        <v>3</v>
      </c>
      <c r="CW1203">
        <v>7302026</v>
      </c>
      <c r="CY1203">
        <v>1</v>
      </c>
      <c r="CZ1203">
        <v>0</v>
      </c>
      <c r="DA1203">
        <v>0</v>
      </c>
      <c r="DB1203">
        <v>0</v>
      </c>
      <c r="DC1203">
        <v>0</v>
      </c>
      <c r="DD1203">
        <v>1</v>
      </c>
      <c r="DE1203">
        <v>0</v>
      </c>
      <c r="DF1203">
        <v>0</v>
      </c>
      <c r="DG1203">
        <v>0</v>
      </c>
      <c r="DH1203">
        <v>0</v>
      </c>
      <c r="DI1203">
        <v>0</v>
      </c>
    </row>
    <row r="1204" spans="1:113" x14ac:dyDescent="0.3">
      <c r="A1204" t="str">
        <f>"09/28/2021 14:00:31.190"</f>
        <v>09/28/2021 14:00:31.190</v>
      </c>
      <c r="C1204" t="str">
        <f t="shared" si="59"/>
        <v>FFDFD3C0</v>
      </c>
      <c r="D1204" t="s">
        <v>120</v>
      </c>
      <c r="E1204">
        <v>12</v>
      </c>
      <c r="F1204">
        <v>1012</v>
      </c>
      <c r="G1204" t="s">
        <v>114</v>
      </c>
      <c r="J1204" t="s">
        <v>121</v>
      </c>
      <c r="K1204">
        <v>0</v>
      </c>
      <c r="L1204">
        <v>3</v>
      </c>
      <c r="M1204">
        <v>0</v>
      </c>
      <c r="N1204">
        <v>2</v>
      </c>
      <c r="O1204">
        <v>1</v>
      </c>
      <c r="P1204">
        <v>0</v>
      </c>
      <c r="Q1204">
        <v>0</v>
      </c>
      <c r="S1204" t="str">
        <f>"14:00:31.008"</f>
        <v>14:00:31.008</v>
      </c>
      <c r="T1204" t="str">
        <f>"14:00:30.508"</f>
        <v>14:00:30.508</v>
      </c>
      <c r="U1204" t="str">
        <f t="shared" si="58"/>
        <v>A92BC1</v>
      </c>
      <c r="V1204">
        <v>0</v>
      </c>
      <c r="W1204">
        <v>0</v>
      </c>
      <c r="X1204">
        <v>2</v>
      </c>
      <c r="Z1204">
        <v>0</v>
      </c>
      <c r="AA1204">
        <v>9</v>
      </c>
      <c r="AB1204">
        <v>3</v>
      </c>
      <c r="AC1204">
        <v>0</v>
      </c>
      <c r="AD1204">
        <v>10</v>
      </c>
      <c r="AE1204">
        <v>0</v>
      </c>
      <c r="AF1204">
        <v>3</v>
      </c>
      <c r="AG1204">
        <v>2</v>
      </c>
      <c r="AH1204">
        <v>0</v>
      </c>
      <c r="AI1204" t="s">
        <v>1304</v>
      </c>
      <c r="AJ1204">
        <v>45.923730999999997</v>
      </c>
      <c r="AK1204" t="s">
        <v>1305</v>
      </c>
      <c r="AL1204">
        <v>-89.037495000000007</v>
      </c>
      <c r="AM1204">
        <v>100</v>
      </c>
      <c r="AN1204">
        <v>15100</v>
      </c>
      <c r="AO1204" t="s">
        <v>118</v>
      </c>
      <c r="AP1204">
        <v>82</v>
      </c>
      <c r="AQ1204">
        <v>58</v>
      </c>
      <c r="AR1204">
        <v>-640</v>
      </c>
      <c r="AZ1204">
        <v>1200</v>
      </c>
      <c r="BA1204">
        <v>1</v>
      </c>
      <c r="BB1204" t="str">
        <f t="shared" si="60"/>
        <v xml:space="preserve">N690LS  </v>
      </c>
      <c r="BC1204">
        <v>1</v>
      </c>
      <c r="BE1204">
        <v>0</v>
      </c>
      <c r="BF1204">
        <v>0</v>
      </c>
      <c r="BG1204">
        <v>0</v>
      </c>
      <c r="BH1204">
        <v>15650</v>
      </c>
      <c r="BI1204">
        <v>1</v>
      </c>
      <c r="BJ1204">
        <v>1</v>
      </c>
      <c r="BK1204">
        <v>1</v>
      </c>
      <c r="BL1204">
        <v>0</v>
      </c>
      <c r="BO1204">
        <v>0</v>
      </c>
      <c r="BP1204">
        <v>0</v>
      </c>
      <c r="BW1204" t="str">
        <f>"14:00:31.012"</f>
        <v>14:00:31.012</v>
      </c>
      <c r="CJ1204">
        <v>0</v>
      </c>
      <c r="CK1204">
        <v>2</v>
      </c>
      <c r="CL1204">
        <v>0</v>
      </c>
      <c r="CM1204">
        <v>2</v>
      </c>
      <c r="CN1204">
        <v>0</v>
      </c>
      <c r="CO1204">
        <v>7</v>
      </c>
      <c r="CP1204" t="s">
        <v>119</v>
      </c>
      <c r="CQ1204">
        <v>209</v>
      </c>
      <c r="CR1204">
        <v>3</v>
      </c>
      <c r="CW1204">
        <v>7302026</v>
      </c>
      <c r="CY1204">
        <v>1</v>
      </c>
      <c r="CZ1204">
        <v>0</v>
      </c>
      <c r="DA1204">
        <v>1</v>
      </c>
      <c r="DB1204">
        <v>0</v>
      </c>
      <c r="DC1204">
        <v>0</v>
      </c>
      <c r="DD1204">
        <v>1</v>
      </c>
      <c r="DE1204">
        <v>0</v>
      </c>
      <c r="DF1204">
        <v>0</v>
      </c>
      <c r="DG1204">
        <v>0</v>
      </c>
      <c r="DH1204">
        <v>0</v>
      </c>
      <c r="DI1204">
        <v>0</v>
      </c>
    </row>
    <row r="1205" spans="1:113" x14ac:dyDescent="0.3">
      <c r="A1205" t="str">
        <f>"09/28/2021 14:00:32.215"</f>
        <v>09/28/2021 14:00:32.215</v>
      </c>
      <c r="C1205" t="str">
        <f t="shared" si="59"/>
        <v>FFDFD3C0</v>
      </c>
      <c r="D1205" t="s">
        <v>113</v>
      </c>
      <c r="E1205">
        <v>7</v>
      </c>
      <c r="H1205">
        <v>170</v>
      </c>
      <c r="I1205" t="s">
        <v>114</v>
      </c>
      <c r="J1205" t="s">
        <v>115</v>
      </c>
      <c r="K1205">
        <v>0</v>
      </c>
      <c r="L1205">
        <v>3</v>
      </c>
      <c r="M1205">
        <v>0</v>
      </c>
      <c r="N1205">
        <v>2</v>
      </c>
      <c r="O1205">
        <v>1</v>
      </c>
      <c r="P1205">
        <v>0</v>
      </c>
      <c r="Q1205">
        <v>0</v>
      </c>
      <c r="S1205" t="str">
        <f>"14:00:31.969"</f>
        <v>14:00:31.969</v>
      </c>
      <c r="T1205" t="str">
        <f>"14:00:31.469"</f>
        <v>14:00:31.469</v>
      </c>
      <c r="U1205" t="str">
        <f t="shared" si="58"/>
        <v>A92BC1</v>
      </c>
      <c r="V1205">
        <v>0</v>
      </c>
      <c r="W1205">
        <v>0</v>
      </c>
      <c r="X1205">
        <v>2</v>
      </c>
      <c r="Z1205">
        <v>0</v>
      </c>
      <c r="AA1205">
        <v>9</v>
      </c>
      <c r="AB1205">
        <v>3</v>
      </c>
      <c r="AC1205">
        <v>0</v>
      </c>
      <c r="AD1205">
        <v>10</v>
      </c>
      <c r="AE1205">
        <v>0</v>
      </c>
      <c r="AF1205">
        <v>3</v>
      </c>
      <c r="AG1205">
        <v>2</v>
      </c>
      <c r="AH1205">
        <v>0</v>
      </c>
      <c r="AI1205" t="s">
        <v>1306</v>
      </c>
      <c r="AJ1205">
        <v>45.923988999999999</v>
      </c>
      <c r="AK1205" t="s">
        <v>1307</v>
      </c>
      <c r="AL1205">
        <v>-89.036957999999998</v>
      </c>
      <c r="AM1205">
        <v>100</v>
      </c>
      <c r="AN1205">
        <v>15100</v>
      </c>
      <c r="AO1205" t="s">
        <v>118</v>
      </c>
      <c r="AP1205">
        <v>82</v>
      </c>
      <c r="AQ1205">
        <v>57</v>
      </c>
      <c r="AR1205">
        <v>-640</v>
      </c>
      <c r="AZ1205">
        <v>1200</v>
      </c>
      <c r="BA1205">
        <v>1</v>
      </c>
      <c r="BB1205" t="str">
        <f t="shared" si="60"/>
        <v xml:space="preserve">N690LS  </v>
      </c>
      <c r="BC1205">
        <v>1</v>
      </c>
      <c r="BE1205">
        <v>0</v>
      </c>
      <c r="BF1205">
        <v>0</v>
      </c>
      <c r="BG1205">
        <v>0</v>
      </c>
      <c r="BH1205">
        <v>15625</v>
      </c>
      <c r="BI1205">
        <v>1</v>
      </c>
      <c r="BJ1205">
        <v>1</v>
      </c>
      <c r="BK1205">
        <v>1</v>
      </c>
      <c r="BL1205">
        <v>0</v>
      </c>
      <c r="BO1205">
        <v>0</v>
      </c>
      <c r="BP1205">
        <v>0</v>
      </c>
      <c r="BW1205" t="str">
        <f>"14:00:31.974"</f>
        <v>14:00:31.974</v>
      </c>
      <c r="CJ1205">
        <v>0</v>
      </c>
      <c r="CK1205">
        <v>2</v>
      </c>
      <c r="CL1205">
        <v>0</v>
      </c>
      <c r="CM1205">
        <v>2</v>
      </c>
      <c r="CN1205">
        <v>0</v>
      </c>
      <c r="CO1205">
        <v>7</v>
      </c>
      <c r="CP1205" t="s">
        <v>119</v>
      </c>
      <c r="CQ1205">
        <v>209</v>
      </c>
      <c r="CR1205">
        <v>3</v>
      </c>
      <c r="CW1205">
        <v>7302429</v>
      </c>
      <c r="CY1205">
        <v>1</v>
      </c>
      <c r="CZ1205">
        <v>0</v>
      </c>
      <c r="DA1205">
        <v>0</v>
      </c>
      <c r="DB1205">
        <v>0</v>
      </c>
      <c r="DC1205">
        <v>0</v>
      </c>
      <c r="DD1205">
        <v>1</v>
      </c>
      <c r="DE1205">
        <v>0</v>
      </c>
      <c r="DF1205">
        <v>0</v>
      </c>
      <c r="DG1205">
        <v>0</v>
      </c>
      <c r="DH1205">
        <v>0</v>
      </c>
      <c r="DI1205">
        <v>0</v>
      </c>
    </row>
    <row r="1206" spans="1:113" x14ac:dyDescent="0.3">
      <c r="A1206" t="str">
        <f>"09/28/2021 14:00:32.215"</f>
        <v>09/28/2021 14:00:32.215</v>
      </c>
      <c r="C1206" t="str">
        <f t="shared" si="59"/>
        <v>FFDFD3C0</v>
      </c>
      <c r="D1206" t="s">
        <v>120</v>
      </c>
      <c r="E1206">
        <v>12</v>
      </c>
      <c r="F1206">
        <v>1012</v>
      </c>
      <c r="G1206" t="s">
        <v>114</v>
      </c>
      <c r="J1206" t="s">
        <v>121</v>
      </c>
      <c r="K1206">
        <v>0</v>
      </c>
      <c r="L1206">
        <v>3</v>
      </c>
      <c r="M1206">
        <v>0</v>
      </c>
      <c r="N1206">
        <v>2</v>
      </c>
      <c r="O1206">
        <v>1</v>
      </c>
      <c r="P1206">
        <v>0</v>
      </c>
      <c r="Q1206">
        <v>0</v>
      </c>
      <c r="S1206" t="str">
        <f>"14:00:31.969"</f>
        <v>14:00:31.969</v>
      </c>
      <c r="T1206" t="str">
        <f>"14:00:31.469"</f>
        <v>14:00:31.469</v>
      </c>
      <c r="U1206" t="str">
        <f t="shared" si="58"/>
        <v>A92BC1</v>
      </c>
      <c r="V1206">
        <v>0</v>
      </c>
      <c r="W1206">
        <v>0</v>
      </c>
      <c r="X1206">
        <v>2</v>
      </c>
      <c r="Z1206">
        <v>0</v>
      </c>
      <c r="AA1206">
        <v>9</v>
      </c>
      <c r="AB1206">
        <v>3</v>
      </c>
      <c r="AC1206">
        <v>0</v>
      </c>
      <c r="AD1206">
        <v>10</v>
      </c>
      <c r="AE1206">
        <v>0</v>
      </c>
      <c r="AF1206">
        <v>3</v>
      </c>
      <c r="AG1206">
        <v>2</v>
      </c>
      <c r="AH1206">
        <v>0</v>
      </c>
      <c r="AI1206" t="s">
        <v>1306</v>
      </c>
      <c r="AJ1206">
        <v>45.923988999999999</v>
      </c>
      <c r="AK1206" t="s">
        <v>1307</v>
      </c>
      <c r="AL1206">
        <v>-89.036957999999998</v>
      </c>
      <c r="AM1206">
        <v>100</v>
      </c>
      <c r="AN1206">
        <v>15100</v>
      </c>
      <c r="AO1206" t="s">
        <v>118</v>
      </c>
      <c r="AP1206">
        <v>82</v>
      </c>
      <c r="AQ1206">
        <v>57</v>
      </c>
      <c r="AR1206">
        <v>-640</v>
      </c>
      <c r="AZ1206">
        <v>1200</v>
      </c>
      <c r="BA1206">
        <v>1</v>
      </c>
      <c r="BB1206" t="str">
        <f t="shared" si="60"/>
        <v xml:space="preserve">N690LS  </v>
      </c>
      <c r="BC1206">
        <v>1</v>
      </c>
      <c r="BE1206">
        <v>0</v>
      </c>
      <c r="BF1206">
        <v>0</v>
      </c>
      <c r="BG1206">
        <v>0</v>
      </c>
      <c r="BH1206">
        <v>15625</v>
      </c>
      <c r="BI1206">
        <v>1</v>
      </c>
      <c r="BJ1206">
        <v>1</v>
      </c>
      <c r="BK1206">
        <v>1</v>
      </c>
      <c r="BL1206">
        <v>0</v>
      </c>
      <c r="BO1206">
        <v>0</v>
      </c>
      <c r="BP1206">
        <v>0</v>
      </c>
      <c r="BW1206" t="str">
        <f>"14:00:31.974"</f>
        <v>14:00:31.974</v>
      </c>
      <c r="CJ1206">
        <v>0</v>
      </c>
      <c r="CK1206">
        <v>2</v>
      </c>
      <c r="CL1206">
        <v>0</v>
      </c>
      <c r="CM1206">
        <v>2</v>
      </c>
      <c r="CN1206">
        <v>0</v>
      </c>
      <c r="CO1206">
        <v>7</v>
      </c>
      <c r="CP1206" t="s">
        <v>119</v>
      </c>
      <c r="CQ1206">
        <v>209</v>
      </c>
      <c r="CR1206">
        <v>3</v>
      </c>
      <c r="CW1206">
        <v>7302429</v>
      </c>
      <c r="CY1206">
        <v>1</v>
      </c>
      <c r="CZ1206">
        <v>0</v>
      </c>
      <c r="DA1206">
        <v>1</v>
      </c>
      <c r="DB1206">
        <v>0</v>
      </c>
      <c r="DC1206">
        <v>0</v>
      </c>
      <c r="DD1206">
        <v>1</v>
      </c>
      <c r="DE1206">
        <v>0</v>
      </c>
      <c r="DF1206">
        <v>0</v>
      </c>
      <c r="DG1206">
        <v>0</v>
      </c>
      <c r="DH1206">
        <v>0</v>
      </c>
      <c r="DI1206">
        <v>0</v>
      </c>
    </row>
    <row r="1207" spans="1:113" x14ac:dyDescent="0.3">
      <c r="A1207" t="str">
        <f>"09/28/2021 14:00:33.262"</f>
        <v>09/28/2021 14:00:33.262</v>
      </c>
      <c r="C1207" t="str">
        <f t="shared" si="59"/>
        <v>FFDFD3C0</v>
      </c>
      <c r="D1207" t="s">
        <v>113</v>
      </c>
      <c r="E1207">
        <v>7</v>
      </c>
      <c r="H1207">
        <v>170</v>
      </c>
      <c r="I1207" t="s">
        <v>114</v>
      </c>
      <c r="J1207" t="s">
        <v>115</v>
      </c>
      <c r="K1207">
        <v>0</v>
      </c>
      <c r="L1207">
        <v>3</v>
      </c>
      <c r="M1207">
        <v>0</v>
      </c>
      <c r="N1207">
        <v>2</v>
      </c>
      <c r="O1207">
        <v>1</v>
      </c>
      <c r="P1207">
        <v>0</v>
      </c>
      <c r="Q1207">
        <v>0</v>
      </c>
      <c r="S1207" t="str">
        <f>"14:00:33.047"</f>
        <v>14:00:33.047</v>
      </c>
      <c r="T1207" t="str">
        <f>"14:00:32.547"</f>
        <v>14:00:32.547</v>
      </c>
      <c r="U1207" t="str">
        <f t="shared" si="58"/>
        <v>A92BC1</v>
      </c>
      <c r="V1207">
        <v>0</v>
      </c>
      <c r="W1207">
        <v>0</v>
      </c>
      <c r="X1207">
        <v>2</v>
      </c>
      <c r="Z1207">
        <v>0</v>
      </c>
      <c r="AA1207">
        <v>9</v>
      </c>
      <c r="AB1207">
        <v>3</v>
      </c>
      <c r="AC1207">
        <v>0</v>
      </c>
      <c r="AD1207">
        <v>10</v>
      </c>
      <c r="AE1207">
        <v>0</v>
      </c>
      <c r="AF1207">
        <v>3</v>
      </c>
      <c r="AG1207">
        <v>2</v>
      </c>
      <c r="AH1207">
        <v>0</v>
      </c>
      <c r="AI1207" t="s">
        <v>1308</v>
      </c>
      <c r="AJ1207">
        <v>45.924289000000002</v>
      </c>
      <c r="AK1207" t="s">
        <v>1309</v>
      </c>
      <c r="AL1207">
        <v>-89.036356999999995</v>
      </c>
      <c r="AM1207">
        <v>100</v>
      </c>
      <c r="AN1207">
        <v>15100</v>
      </c>
      <c r="AO1207" t="s">
        <v>118</v>
      </c>
      <c r="AP1207">
        <v>81</v>
      </c>
      <c r="AQ1207">
        <v>56</v>
      </c>
      <c r="AR1207">
        <v>-704</v>
      </c>
      <c r="AZ1207">
        <v>1200</v>
      </c>
      <c r="BA1207">
        <v>1</v>
      </c>
      <c r="BB1207" t="str">
        <f t="shared" si="60"/>
        <v xml:space="preserve">N690LS  </v>
      </c>
      <c r="BC1207">
        <v>1</v>
      </c>
      <c r="BE1207">
        <v>0</v>
      </c>
      <c r="BF1207">
        <v>0</v>
      </c>
      <c r="BG1207">
        <v>0</v>
      </c>
      <c r="BH1207">
        <v>15625</v>
      </c>
      <c r="BI1207">
        <v>1</v>
      </c>
      <c r="BJ1207">
        <v>1</v>
      </c>
      <c r="BK1207">
        <v>1</v>
      </c>
      <c r="BL1207">
        <v>0</v>
      </c>
      <c r="BO1207">
        <v>0</v>
      </c>
      <c r="BP1207">
        <v>0</v>
      </c>
      <c r="BW1207" t="str">
        <f>"14:00:33.050"</f>
        <v>14:00:33.050</v>
      </c>
      <c r="CJ1207">
        <v>0</v>
      </c>
      <c r="CK1207">
        <v>2</v>
      </c>
      <c r="CL1207">
        <v>0</v>
      </c>
      <c r="CM1207">
        <v>2</v>
      </c>
      <c r="CN1207">
        <v>0</v>
      </c>
      <c r="CO1207">
        <v>7</v>
      </c>
      <c r="CP1207" t="s">
        <v>119</v>
      </c>
      <c r="CQ1207">
        <v>209</v>
      </c>
      <c r="CR1207">
        <v>3</v>
      </c>
      <c r="CW1207">
        <v>7302879</v>
      </c>
      <c r="CY1207">
        <v>1</v>
      </c>
      <c r="CZ1207">
        <v>0</v>
      </c>
      <c r="DA1207">
        <v>0</v>
      </c>
      <c r="DB1207">
        <v>0</v>
      </c>
      <c r="DC1207">
        <v>0</v>
      </c>
      <c r="DD1207">
        <v>1</v>
      </c>
      <c r="DE1207">
        <v>0</v>
      </c>
      <c r="DF1207">
        <v>0</v>
      </c>
      <c r="DG1207">
        <v>0</v>
      </c>
      <c r="DH1207">
        <v>0</v>
      </c>
      <c r="DI1207">
        <v>0</v>
      </c>
    </row>
    <row r="1208" spans="1:113" x14ac:dyDescent="0.3">
      <c r="A1208" t="str">
        <f>"09/28/2021 14:00:33.262"</f>
        <v>09/28/2021 14:00:33.262</v>
      </c>
      <c r="C1208" t="str">
        <f t="shared" si="59"/>
        <v>FFDFD3C0</v>
      </c>
      <c r="D1208" t="s">
        <v>120</v>
      </c>
      <c r="E1208">
        <v>12</v>
      </c>
      <c r="F1208">
        <v>1012</v>
      </c>
      <c r="G1208" t="s">
        <v>114</v>
      </c>
      <c r="J1208" t="s">
        <v>121</v>
      </c>
      <c r="K1208">
        <v>0</v>
      </c>
      <c r="L1208">
        <v>3</v>
      </c>
      <c r="M1208">
        <v>0</v>
      </c>
      <c r="N1208">
        <v>2</v>
      </c>
      <c r="O1208">
        <v>1</v>
      </c>
      <c r="P1208">
        <v>0</v>
      </c>
      <c r="Q1208">
        <v>0</v>
      </c>
      <c r="S1208" t="str">
        <f>"14:00:33.047"</f>
        <v>14:00:33.047</v>
      </c>
      <c r="T1208" t="str">
        <f>"14:00:32.547"</f>
        <v>14:00:32.547</v>
      </c>
      <c r="U1208" t="str">
        <f t="shared" si="58"/>
        <v>A92BC1</v>
      </c>
      <c r="V1208">
        <v>0</v>
      </c>
      <c r="W1208">
        <v>0</v>
      </c>
      <c r="X1208">
        <v>2</v>
      </c>
      <c r="Z1208">
        <v>0</v>
      </c>
      <c r="AA1208">
        <v>9</v>
      </c>
      <c r="AB1208">
        <v>3</v>
      </c>
      <c r="AC1208">
        <v>0</v>
      </c>
      <c r="AD1208">
        <v>10</v>
      </c>
      <c r="AE1208">
        <v>0</v>
      </c>
      <c r="AF1208">
        <v>3</v>
      </c>
      <c r="AG1208">
        <v>2</v>
      </c>
      <c r="AH1208">
        <v>0</v>
      </c>
      <c r="AI1208" t="s">
        <v>1308</v>
      </c>
      <c r="AJ1208">
        <v>45.924289000000002</v>
      </c>
      <c r="AK1208" t="s">
        <v>1309</v>
      </c>
      <c r="AL1208">
        <v>-89.036356999999995</v>
      </c>
      <c r="AM1208">
        <v>100</v>
      </c>
      <c r="AN1208">
        <v>15100</v>
      </c>
      <c r="AO1208" t="s">
        <v>118</v>
      </c>
      <c r="AP1208">
        <v>81</v>
      </c>
      <c r="AQ1208">
        <v>56</v>
      </c>
      <c r="AR1208">
        <v>-704</v>
      </c>
      <c r="AZ1208">
        <v>1200</v>
      </c>
      <c r="BA1208">
        <v>1</v>
      </c>
      <c r="BB1208" t="str">
        <f t="shared" si="60"/>
        <v xml:space="preserve">N690LS  </v>
      </c>
      <c r="BC1208">
        <v>1</v>
      </c>
      <c r="BE1208">
        <v>0</v>
      </c>
      <c r="BF1208">
        <v>0</v>
      </c>
      <c r="BG1208">
        <v>0</v>
      </c>
      <c r="BH1208">
        <v>15625</v>
      </c>
      <c r="BI1208">
        <v>1</v>
      </c>
      <c r="BJ1208">
        <v>1</v>
      </c>
      <c r="BK1208">
        <v>1</v>
      </c>
      <c r="BL1208">
        <v>0</v>
      </c>
      <c r="BO1208">
        <v>0</v>
      </c>
      <c r="BP1208">
        <v>0</v>
      </c>
      <c r="BW1208" t="str">
        <f>"14:00:33.050"</f>
        <v>14:00:33.050</v>
      </c>
      <c r="CJ1208">
        <v>0</v>
      </c>
      <c r="CK1208">
        <v>2</v>
      </c>
      <c r="CL1208">
        <v>0</v>
      </c>
      <c r="CM1208">
        <v>2</v>
      </c>
      <c r="CN1208">
        <v>0</v>
      </c>
      <c r="CO1208">
        <v>7</v>
      </c>
      <c r="CP1208" t="s">
        <v>119</v>
      </c>
      <c r="CQ1208">
        <v>209</v>
      </c>
      <c r="CR1208">
        <v>3</v>
      </c>
      <c r="CW1208">
        <v>7302879</v>
      </c>
      <c r="CY1208">
        <v>1</v>
      </c>
      <c r="CZ1208">
        <v>0</v>
      </c>
      <c r="DA1208">
        <v>1</v>
      </c>
      <c r="DB1208">
        <v>0</v>
      </c>
      <c r="DC1208">
        <v>0</v>
      </c>
      <c r="DD1208">
        <v>1</v>
      </c>
      <c r="DE1208">
        <v>0</v>
      </c>
      <c r="DF1208">
        <v>0</v>
      </c>
      <c r="DG1208">
        <v>0</v>
      </c>
      <c r="DH1208">
        <v>0</v>
      </c>
      <c r="DI1208">
        <v>0</v>
      </c>
    </row>
    <row r="1209" spans="1:113" x14ac:dyDescent="0.3">
      <c r="A1209" t="str">
        <f>"09/28/2021 14:00:34.153"</f>
        <v>09/28/2021 14:00:34.153</v>
      </c>
      <c r="C1209" t="str">
        <f t="shared" si="59"/>
        <v>FFDFD3C0</v>
      </c>
      <c r="D1209" t="s">
        <v>113</v>
      </c>
      <c r="E1209">
        <v>7</v>
      </c>
      <c r="H1209">
        <v>170</v>
      </c>
      <c r="I1209" t="s">
        <v>114</v>
      </c>
      <c r="J1209" t="s">
        <v>115</v>
      </c>
      <c r="K1209">
        <v>0</v>
      </c>
      <c r="L1209">
        <v>3</v>
      </c>
      <c r="M1209">
        <v>0</v>
      </c>
      <c r="N1209">
        <v>2</v>
      </c>
      <c r="O1209">
        <v>1</v>
      </c>
      <c r="P1209">
        <v>0</v>
      </c>
      <c r="Q1209">
        <v>0</v>
      </c>
      <c r="S1209" t="str">
        <f>"14:00:33.977"</f>
        <v>14:00:33.977</v>
      </c>
      <c r="T1209" t="str">
        <f>"14:00:33.577"</f>
        <v>14:00:33.577</v>
      </c>
      <c r="U1209" t="str">
        <f t="shared" si="58"/>
        <v>A92BC1</v>
      </c>
      <c r="V1209">
        <v>0</v>
      </c>
      <c r="W1209">
        <v>0</v>
      </c>
      <c r="X1209">
        <v>2</v>
      </c>
      <c r="Z1209">
        <v>0</v>
      </c>
      <c r="AA1209">
        <v>9</v>
      </c>
      <c r="AB1209">
        <v>3</v>
      </c>
      <c r="AC1209">
        <v>0</v>
      </c>
      <c r="AD1209">
        <v>10</v>
      </c>
      <c r="AE1209">
        <v>0</v>
      </c>
      <c r="AF1209">
        <v>3</v>
      </c>
      <c r="AG1209">
        <v>2</v>
      </c>
      <c r="AH1209">
        <v>0</v>
      </c>
      <c r="AI1209" t="s">
        <v>1310</v>
      </c>
      <c r="AJ1209">
        <v>45.924503999999999</v>
      </c>
      <c r="AK1209" t="s">
        <v>1311</v>
      </c>
      <c r="AL1209">
        <v>-89.035884999999993</v>
      </c>
      <c r="AM1209">
        <v>100</v>
      </c>
      <c r="AN1209">
        <v>15100</v>
      </c>
      <c r="AO1209" t="s">
        <v>118</v>
      </c>
      <c r="AP1209">
        <v>80</v>
      </c>
      <c r="AQ1209">
        <v>55</v>
      </c>
      <c r="AR1209">
        <v>-768</v>
      </c>
      <c r="AZ1209">
        <v>1200</v>
      </c>
      <c r="BA1209">
        <v>1</v>
      </c>
      <c r="BB1209" t="str">
        <f t="shared" si="60"/>
        <v xml:space="preserve">N690LS  </v>
      </c>
      <c r="BC1209">
        <v>1</v>
      </c>
      <c r="BE1209">
        <v>0</v>
      </c>
      <c r="BF1209">
        <v>0</v>
      </c>
      <c r="BG1209">
        <v>0</v>
      </c>
      <c r="BH1209">
        <v>15600</v>
      </c>
      <c r="BI1209">
        <v>1</v>
      </c>
      <c r="BJ1209">
        <v>1</v>
      </c>
      <c r="BK1209">
        <v>1</v>
      </c>
      <c r="BL1209">
        <v>0</v>
      </c>
      <c r="BO1209">
        <v>0</v>
      </c>
      <c r="BP1209">
        <v>0</v>
      </c>
      <c r="BW1209" t="str">
        <f>"14:00:33.979"</f>
        <v>14:00:33.979</v>
      </c>
      <c r="CJ1209">
        <v>0</v>
      </c>
      <c r="CK1209">
        <v>2</v>
      </c>
      <c r="CL1209">
        <v>0</v>
      </c>
      <c r="CM1209">
        <v>2</v>
      </c>
      <c r="CN1209">
        <v>0</v>
      </c>
      <c r="CO1209">
        <v>7</v>
      </c>
      <c r="CP1209" t="s">
        <v>119</v>
      </c>
      <c r="CQ1209">
        <v>197</v>
      </c>
      <c r="CR1209">
        <v>0</v>
      </c>
      <c r="CW1209">
        <v>16115611</v>
      </c>
      <c r="CY1209">
        <v>1</v>
      </c>
      <c r="CZ1209">
        <v>0</v>
      </c>
      <c r="DA1209">
        <v>0</v>
      </c>
      <c r="DB1209">
        <v>0</v>
      </c>
      <c r="DC1209">
        <v>0</v>
      </c>
      <c r="DD1209">
        <v>1</v>
      </c>
      <c r="DE1209">
        <v>0</v>
      </c>
      <c r="DF1209">
        <v>0</v>
      </c>
      <c r="DG1209">
        <v>0</v>
      </c>
      <c r="DH1209">
        <v>0</v>
      </c>
      <c r="DI1209">
        <v>0</v>
      </c>
    </row>
    <row r="1210" spans="1:113" x14ac:dyDescent="0.3">
      <c r="A1210" t="str">
        <f>"09/28/2021 14:00:34.153"</f>
        <v>09/28/2021 14:00:34.153</v>
      </c>
      <c r="C1210" t="str">
        <f t="shared" si="59"/>
        <v>FFDFD3C0</v>
      </c>
      <c r="D1210" t="s">
        <v>120</v>
      </c>
      <c r="E1210">
        <v>12</v>
      </c>
      <c r="F1210">
        <v>1012</v>
      </c>
      <c r="G1210" t="s">
        <v>114</v>
      </c>
      <c r="J1210" t="s">
        <v>121</v>
      </c>
      <c r="K1210">
        <v>0</v>
      </c>
      <c r="L1210">
        <v>3</v>
      </c>
      <c r="M1210">
        <v>0</v>
      </c>
      <c r="N1210">
        <v>2</v>
      </c>
      <c r="O1210">
        <v>1</v>
      </c>
      <c r="P1210">
        <v>0</v>
      </c>
      <c r="Q1210">
        <v>0</v>
      </c>
      <c r="S1210" t="str">
        <f>"14:00:33.977"</f>
        <v>14:00:33.977</v>
      </c>
      <c r="T1210" t="str">
        <f>"14:00:33.577"</f>
        <v>14:00:33.577</v>
      </c>
      <c r="U1210" t="str">
        <f t="shared" si="58"/>
        <v>A92BC1</v>
      </c>
      <c r="V1210">
        <v>0</v>
      </c>
      <c r="W1210">
        <v>0</v>
      </c>
      <c r="X1210">
        <v>2</v>
      </c>
      <c r="Z1210">
        <v>0</v>
      </c>
      <c r="AA1210">
        <v>9</v>
      </c>
      <c r="AB1210">
        <v>3</v>
      </c>
      <c r="AC1210">
        <v>0</v>
      </c>
      <c r="AD1210">
        <v>10</v>
      </c>
      <c r="AE1210">
        <v>0</v>
      </c>
      <c r="AF1210">
        <v>3</v>
      </c>
      <c r="AG1210">
        <v>2</v>
      </c>
      <c r="AH1210">
        <v>0</v>
      </c>
      <c r="AI1210" t="s">
        <v>1310</v>
      </c>
      <c r="AJ1210">
        <v>45.924503999999999</v>
      </c>
      <c r="AK1210" t="s">
        <v>1311</v>
      </c>
      <c r="AL1210">
        <v>-89.035884999999993</v>
      </c>
      <c r="AM1210">
        <v>100</v>
      </c>
      <c r="AN1210">
        <v>15100</v>
      </c>
      <c r="AO1210" t="s">
        <v>118</v>
      </c>
      <c r="AP1210">
        <v>80</v>
      </c>
      <c r="AQ1210">
        <v>55</v>
      </c>
      <c r="AR1210">
        <v>-768</v>
      </c>
      <c r="AZ1210">
        <v>1200</v>
      </c>
      <c r="BA1210">
        <v>1</v>
      </c>
      <c r="BB1210" t="str">
        <f t="shared" si="60"/>
        <v xml:space="preserve">N690LS  </v>
      </c>
      <c r="BC1210">
        <v>1</v>
      </c>
      <c r="BE1210">
        <v>0</v>
      </c>
      <c r="BF1210">
        <v>0</v>
      </c>
      <c r="BG1210">
        <v>0</v>
      </c>
      <c r="BH1210">
        <v>15600</v>
      </c>
      <c r="BI1210">
        <v>1</v>
      </c>
      <c r="BJ1210">
        <v>1</v>
      </c>
      <c r="BK1210">
        <v>1</v>
      </c>
      <c r="BL1210">
        <v>0</v>
      </c>
      <c r="BO1210">
        <v>0</v>
      </c>
      <c r="BP1210">
        <v>0</v>
      </c>
      <c r="BW1210" t="str">
        <f>"14:00:33.979"</f>
        <v>14:00:33.979</v>
      </c>
      <c r="CJ1210">
        <v>0</v>
      </c>
      <c r="CK1210">
        <v>2</v>
      </c>
      <c r="CL1210">
        <v>0</v>
      </c>
      <c r="CM1210">
        <v>2</v>
      </c>
      <c r="CN1210">
        <v>0</v>
      </c>
      <c r="CO1210">
        <v>7</v>
      </c>
      <c r="CP1210" t="s">
        <v>119</v>
      </c>
      <c r="CQ1210">
        <v>197</v>
      </c>
      <c r="CR1210">
        <v>0</v>
      </c>
      <c r="CW1210">
        <v>16115611</v>
      </c>
      <c r="CY1210">
        <v>1</v>
      </c>
      <c r="CZ1210">
        <v>0</v>
      </c>
      <c r="DA1210">
        <v>1</v>
      </c>
      <c r="DB1210">
        <v>0</v>
      </c>
      <c r="DC1210">
        <v>0</v>
      </c>
      <c r="DD1210">
        <v>1</v>
      </c>
      <c r="DE1210">
        <v>0</v>
      </c>
      <c r="DF1210">
        <v>0</v>
      </c>
      <c r="DG1210">
        <v>0</v>
      </c>
      <c r="DH1210">
        <v>0</v>
      </c>
      <c r="DI1210">
        <v>0</v>
      </c>
    </row>
    <row r="1211" spans="1:113" x14ac:dyDescent="0.3">
      <c r="A1211" t="str">
        <f>"09/28/2021 14:00:35.216"</f>
        <v>09/28/2021 14:00:35.216</v>
      </c>
      <c r="C1211" t="str">
        <f t="shared" si="59"/>
        <v>FFDFD3C0</v>
      </c>
      <c r="D1211" t="s">
        <v>113</v>
      </c>
      <c r="E1211">
        <v>7</v>
      </c>
      <c r="H1211">
        <v>170</v>
      </c>
      <c r="I1211" t="s">
        <v>114</v>
      </c>
      <c r="J1211" t="s">
        <v>115</v>
      </c>
      <c r="K1211">
        <v>0</v>
      </c>
      <c r="L1211">
        <v>3</v>
      </c>
      <c r="M1211">
        <v>0</v>
      </c>
      <c r="N1211">
        <v>2</v>
      </c>
      <c r="O1211">
        <v>1</v>
      </c>
      <c r="P1211">
        <v>0</v>
      </c>
      <c r="Q1211">
        <v>0</v>
      </c>
      <c r="S1211" t="str">
        <f>"14:00:34.945"</f>
        <v>14:00:34.945</v>
      </c>
      <c r="T1211" t="str">
        <f>"14:00:34.545"</f>
        <v>14:00:34.545</v>
      </c>
      <c r="U1211" t="str">
        <f t="shared" si="58"/>
        <v>A92BC1</v>
      </c>
      <c r="V1211">
        <v>0</v>
      </c>
      <c r="W1211">
        <v>0</v>
      </c>
      <c r="X1211">
        <v>2</v>
      </c>
      <c r="Z1211">
        <v>0</v>
      </c>
      <c r="AA1211">
        <v>9</v>
      </c>
      <c r="AB1211">
        <v>3</v>
      </c>
      <c r="AC1211">
        <v>0</v>
      </c>
      <c r="AD1211">
        <v>10</v>
      </c>
      <c r="AE1211">
        <v>0</v>
      </c>
      <c r="AF1211">
        <v>3</v>
      </c>
      <c r="AG1211">
        <v>2</v>
      </c>
      <c r="AH1211">
        <v>0</v>
      </c>
      <c r="AI1211" t="s">
        <v>1312</v>
      </c>
      <c r="AJ1211">
        <v>45.924782999999998</v>
      </c>
      <c r="AK1211" t="s">
        <v>1313</v>
      </c>
      <c r="AL1211">
        <v>-89.035413000000005</v>
      </c>
      <c r="AM1211">
        <v>100</v>
      </c>
      <c r="AN1211">
        <v>15100</v>
      </c>
      <c r="AO1211" t="s">
        <v>118</v>
      </c>
      <c r="AP1211">
        <v>79</v>
      </c>
      <c r="AQ1211">
        <v>54</v>
      </c>
      <c r="AR1211">
        <v>-896</v>
      </c>
      <c r="AZ1211">
        <v>1200</v>
      </c>
      <c r="BA1211">
        <v>1</v>
      </c>
      <c r="BB1211" t="str">
        <f t="shared" si="60"/>
        <v xml:space="preserve">N690LS  </v>
      </c>
      <c r="BC1211">
        <v>1</v>
      </c>
      <c r="BE1211">
        <v>0</v>
      </c>
      <c r="BF1211">
        <v>0</v>
      </c>
      <c r="BG1211">
        <v>0</v>
      </c>
      <c r="BH1211">
        <v>15600</v>
      </c>
      <c r="BI1211">
        <v>1</v>
      </c>
      <c r="BJ1211">
        <v>1</v>
      </c>
      <c r="BK1211">
        <v>1</v>
      </c>
      <c r="BL1211">
        <v>0</v>
      </c>
      <c r="BO1211">
        <v>0</v>
      </c>
      <c r="BP1211">
        <v>0</v>
      </c>
      <c r="BW1211" t="str">
        <f>"14:00:34.949"</f>
        <v>14:00:34.949</v>
      </c>
      <c r="CJ1211">
        <v>0</v>
      </c>
      <c r="CK1211">
        <v>2</v>
      </c>
      <c r="CL1211">
        <v>0</v>
      </c>
      <c r="CM1211">
        <v>2</v>
      </c>
      <c r="CN1211">
        <v>0</v>
      </c>
      <c r="CO1211">
        <v>7</v>
      </c>
      <c r="CP1211" t="s">
        <v>119</v>
      </c>
      <c r="CQ1211">
        <v>209</v>
      </c>
      <c r="CR1211">
        <v>3</v>
      </c>
      <c r="CW1211">
        <v>7303627</v>
      </c>
      <c r="CY1211">
        <v>1</v>
      </c>
      <c r="CZ1211">
        <v>0</v>
      </c>
      <c r="DA1211">
        <v>0</v>
      </c>
      <c r="DB1211">
        <v>0</v>
      </c>
      <c r="DC1211">
        <v>0</v>
      </c>
      <c r="DD1211">
        <v>1</v>
      </c>
      <c r="DE1211">
        <v>0</v>
      </c>
      <c r="DF1211">
        <v>0</v>
      </c>
      <c r="DG1211">
        <v>0</v>
      </c>
      <c r="DH1211">
        <v>0</v>
      </c>
      <c r="DI1211">
        <v>0</v>
      </c>
    </row>
    <row r="1212" spans="1:113" x14ac:dyDescent="0.3">
      <c r="A1212" t="str">
        <f>"09/28/2021 14:00:35.216"</f>
        <v>09/28/2021 14:00:35.216</v>
      </c>
      <c r="C1212" t="str">
        <f t="shared" si="59"/>
        <v>FFDFD3C0</v>
      </c>
      <c r="D1212" t="s">
        <v>120</v>
      </c>
      <c r="E1212">
        <v>12</v>
      </c>
      <c r="F1212">
        <v>1012</v>
      </c>
      <c r="G1212" t="s">
        <v>114</v>
      </c>
      <c r="J1212" t="s">
        <v>121</v>
      </c>
      <c r="K1212">
        <v>0</v>
      </c>
      <c r="L1212">
        <v>3</v>
      </c>
      <c r="M1212">
        <v>0</v>
      </c>
      <c r="N1212">
        <v>2</v>
      </c>
      <c r="O1212">
        <v>1</v>
      </c>
      <c r="P1212">
        <v>0</v>
      </c>
      <c r="Q1212">
        <v>0</v>
      </c>
      <c r="S1212" t="str">
        <f>"14:00:34.945"</f>
        <v>14:00:34.945</v>
      </c>
      <c r="T1212" t="str">
        <f>"14:00:34.545"</f>
        <v>14:00:34.545</v>
      </c>
      <c r="U1212" t="str">
        <f t="shared" si="58"/>
        <v>A92BC1</v>
      </c>
      <c r="V1212">
        <v>0</v>
      </c>
      <c r="W1212">
        <v>0</v>
      </c>
      <c r="X1212">
        <v>2</v>
      </c>
      <c r="Z1212">
        <v>0</v>
      </c>
      <c r="AA1212">
        <v>9</v>
      </c>
      <c r="AB1212">
        <v>3</v>
      </c>
      <c r="AC1212">
        <v>0</v>
      </c>
      <c r="AD1212">
        <v>10</v>
      </c>
      <c r="AE1212">
        <v>0</v>
      </c>
      <c r="AF1212">
        <v>3</v>
      </c>
      <c r="AG1212">
        <v>2</v>
      </c>
      <c r="AH1212">
        <v>0</v>
      </c>
      <c r="AI1212" t="s">
        <v>1312</v>
      </c>
      <c r="AJ1212">
        <v>45.924782999999998</v>
      </c>
      <c r="AK1212" t="s">
        <v>1313</v>
      </c>
      <c r="AL1212">
        <v>-89.035413000000005</v>
      </c>
      <c r="AM1212">
        <v>100</v>
      </c>
      <c r="AN1212">
        <v>15100</v>
      </c>
      <c r="AO1212" t="s">
        <v>118</v>
      </c>
      <c r="AP1212">
        <v>79</v>
      </c>
      <c r="AQ1212">
        <v>54</v>
      </c>
      <c r="AR1212">
        <v>-896</v>
      </c>
      <c r="AZ1212">
        <v>1200</v>
      </c>
      <c r="BA1212">
        <v>1</v>
      </c>
      <c r="BB1212" t="str">
        <f t="shared" si="60"/>
        <v xml:space="preserve">N690LS  </v>
      </c>
      <c r="BC1212">
        <v>1</v>
      </c>
      <c r="BE1212">
        <v>0</v>
      </c>
      <c r="BF1212">
        <v>0</v>
      </c>
      <c r="BG1212">
        <v>0</v>
      </c>
      <c r="BH1212">
        <v>15600</v>
      </c>
      <c r="BI1212">
        <v>1</v>
      </c>
      <c r="BJ1212">
        <v>1</v>
      </c>
      <c r="BK1212">
        <v>1</v>
      </c>
      <c r="BL1212">
        <v>0</v>
      </c>
      <c r="BO1212">
        <v>0</v>
      </c>
      <c r="BP1212">
        <v>0</v>
      </c>
      <c r="BW1212" t="str">
        <f>"14:00:34.949"</f>
        <v>14:00:34.949</v>
      </c>
      <c r="CJ1212">
        <v>0</v>
      </c>
      <c r="CK1212">
        <v>2</v>
      </c>
      <c r="CL1212">
        <v>0</v>
      </c>
      <c r="CM1212">
        <v>2</v>
      </c>
      <c r="CN1212">
        <v>0</v>
      </c>
      <c r="CO1212">
        <v>7</v>
      </c>
      <c r="CP1212" t="s">
        <v>119</v>
      </c>
      <c r="CQ1212">
        <v>209</v>
      </c>
      <c r="CR1212">
        <v>3</v>
      </c>
      <c r="CW1212">
        <v>7303627</v>
      </c>
      <c r="CY1212">
        <v>1</v>
      </c>
      <c r="CZ1212">
        <v>0</v>
      </c>
      <c r="DA1212">
        <v>1</v>
      </c>
      <c r="DB1212">
        <v>0</v>
      </c>
      <c r="DC1212">
        <v>0</v>
      </c>
      <c r="DD1212">
        <v>1</v>
      </c>
      <c r="DE1212">
        <v>0</v>
      </c>
      <c r="DF1212">
        <v>0</v>
      </c>
      <c r="DG1212">
        <v>0</v>
      </c>
      <c r="DH1212">
        <v>0</v>
      </c>
      <c r="DI1212">
        <v>0</v>
      </c>
    </row>
    <row r="1213" spans="1:113" x14ac:dyDescent="0.3">
      <c r="A1213" t="str">
        <f>"09/28/2021 14:00:36.076"</f>
        <v>09/28/2021 14:00:36.076</v>
      </c>
      <c r="C1213" t="str">
        <f t="shared" si="59"/>
        <v>FFDFD3C0</v>
      </c>
      <c r="D1213" t="s">
        <v>120</v>
      </c>
      <c r="E1213">
        <v>12</v>
      </c>
      <c r="F1213">
        <v>1012</v>
      </c>
      <c r="G1213" t="s">
        <v>114</v>
      </c>
      <c r="J1213" t="s">
        <v>121</v>
      </c>
      <c r="K1213">
        <v>0</v>
      </c>
      <c r="L1213">
        <v>3</v>
      </c>
      <c r="M1213">
        <v>0</v>
      </c>
      <c r="N1213">
        <v>2</v>
      </c>
      <c r="O1213">
        <v>1</v>
      </c>
      <c r="P1213">
        <v>0</v>
      </c>
      <c r="Q1213">
        <v>0</v>
      </c>
      <c r="S1213" t="str">
        <f>"14:00:35.813"</f>
        <v>14:00:35.813</v>
      </c>
      <c r="T1213" t="str">
        <f>"14:00:35.413"</f>
        <v>14:00:35.413</v>
      </c>
      <c r="U1213" t="str">
        <f t="shared" si="58"/>
        <v>A92BC1</v>
      </c>
      <c r="V1213">
        <v>0</v>
      </c>
      <c r="W1213">
        <v>0</v>
      </c>
      <c r="X1213">
        <v>2</v>
      </c>
      <c r="Z1213">
        <v>0</v>
      </c>
      <c r="AA1213">
        <v>9</v>
      </c>
      <c r="AB1213">
        <v>3</v>
      </c>
      <c r="AC1213">
        <v>0</v>
      </c>
      <c r="AD1213">
        <v>10</v>
      </c>
      <c r="AE1213">
        <v>0</v>
      </c>
      <c r="AF1213">
        <v>3</v>
      </c>
      <c r="AG1213">
        <v>2</v>
      </c>
      <c r="AH1213">
        <v>0</v>
      </c>
      <c r="AI1213" t="s">
        <v>1314</v>
      </c>
      <c r="AJ1213">
        <v>45.924954</v>
      </c>
      <c r="AK1213" t="s">
        <v>1315</v>
      </c>
      <c r="AL1213">
        <v>-89.034941000000003</v>
      </c>
      <c r="AM1213">
        <v>100</v>
      </c>
      <c r="AN1213">
        <v>15100</v>
      </c>
      <c r="AO1213" t="s">
        <v>118</v>
      </c>
      <c r="AP1213">
        <v>79</v>
      </c>
      <c r="AQ1213">
        <v>54</v>
      </c>
      <c r="AR1213">
        <v>-960</v>
      </c>
      <c r="AZ1213">
        <v>1200</v>
      </c>
      <c r="BA1213">
        <v>1</v>
      </c>
      <c r="BB1213" t="str">
        <f t="shared" si="60"/>
        <v xml:space="preserve">N690LS  </v>
      </c>
      <c r="BC1213">
        <v>1</v>
      </c>
      <c r="BE1213">
        <v>0</v>
      </c>
      <c r="BF1213">
        <v>0</v>
      </c>
      <c r="BG1213">
        <v>0</v>
      </c>
      <c r="BH1213">
        <v>15575</v>
      </c>
      <c r="BI1213">
        <v>1</v>
      </c>
      <c r="BJ1213">
        <v>1</v>
      </c>
      <c r="BK1213">
        <v>1</v>
      </c>
      <c r="BL1213">
        <v>0</v>
      </c>
      <c r="BO1213">
        <v>0</v>
      </c>
      <c r="BP1213">
        <v>0</v>
      </c>
      <c r="BW1213" t="str">
        <f>"14:00:35.818"</f>
        <v>14:00:35.818</v>
      </c>
      <c r="CJ1213">
        <v>0</v>
      </c>
      <c r="CK1213">
        <v>2</v>
      </c>
      <c r="CL1213">
        <v>0</v>
      </c>
      <c r="CM1213">
        <v>2</v>
      </c>
      <c r="CN1213">
        <v>0</v>
      </c>
      <c r="CO1213">
        <v>7</v>
      </c>
      <c r="CP1213" t="s">
        <v>119</v>
      </c>
      <c r="CQ1213">
        <v>209</v>
      </c>
      <c r="CR1213">
        <v>3</v>
      </c>
      <c r="CW1213">
        <v>7303994</v>
      </c>
      <c r="CY1213">
        <v>1</v>
      </c>
      <c r="CZ1213">
        <v>0</v>
      </c>
      <c r="DA1213">
        <v>0</v>
      </c>
      <c r="DB1213">
        <v>0</v>
      </c>
      <c r="DC1213">
        <v>0</v>
      </c>
      <c r="DD1213">
        <v>1</v>
      </c>
      <c r="DE1213">
        <v>0</v>
      </c>
      <c r="DF1213">
        <v>0</v>
      </c>
      <c r="DG1213">
        <v>0</v>
      </c>
      <c r="DH1213">
        <v>0</v>
      </c>
      <c r="DI1213">
        <v>0</v>
      </c>
    </row>
    <row r="1214" spans="1:113" x14ac:dyDescent="0.3">
      <c r="A1214" t="str">
        <f>"09/28/2021 14:00:36.076"</f>
        <v>09/28/2021 14:00:36.076</v>
      </c>
      <c r="C1214" t="str">
        <f t="shared" si="59"/>
        <v>FFDFD3C0</v>
      </c>
      <c r="D1214" t="s">
        <v>113</v>
      </c>
      <c r="E1214">
        <v>7</v>
      </c>
      <c r="H1214">
        <v>170</v>
      </c>
      <c r="I1214" t="s">
        <v>114</v>
      </c>
      <c r="J1214" t="s">
        <v>115</v>
      </c>
      <c r="K1214">
        <v>0</v>
      </c>
      <c r="L1214">
        <v>3</v>
      </c>
      <c r="M1214">
        <v>0</v>
      </c>
      <c r="N1214">
        <v>2</v>
      </c>
      <c r="O1214">
        <v>1</v>
      </c>
      <c r="P1214">
        <v>0</v>
      </c>
      <c r="Q1214">
        <v>0</v>
      </c>
      <c r="S1214" t="str">
        <f>"14:00:35.813"</f>
        <v>14:00:35.813</v>
      </c>
      <c r="T1214" t="str">
        <f>"14:00:35.413"</f>
        <v>14:00:35.413</v>
      </c>
      <c r="U1214" t="str">
        <f t="shared" si="58"/>
        <v>A92BC1</v>
      </c>
      <c r="V1214">
        <v>0</v>
      </c>
      <c r="W1214">
        <v>0</v>
      </c>
      <c r="X1214">
        <v>2</v>
      </c>
      <c r="Z1214">
        <v>0</v>
      </c>
      <c r="AA1214">
        <v>9</v>
      </c>
      <c r="AB1214">
        <v>3</v>
      </c>
      <c r="AC1214">
        <v>0</v>
      </c>
      <c r="AD1214">
        <v>10</v>
      </c>
      <c r="AE1214">
        <v>0</v>
      </c>
      <c r="AF1214">
        <v>3</v>
      </c>
      <c r="AG1214">
        <v>2</v>
      </c>
      <c r="AH1214">
        <v>0</v>
      </c>
      <c r="AI1214" t="s">
        <v>1314</v>
      </c>
      <c r="AJ1214">
        <v>45.924954</v>
      </c>
      <c r="AK1214" t="s">
        <v>1315</v>
      </c>
      <c r="AL1214">
        <v>-89.034941000000003</v>
      </c>
      <c r="AM1214">
        <v>100</v>
      </c>
      <c r="AN1214">
        <v>15100</v>
      </c>
      <c r="AO1214" t="s">
        <v>118</v>
      </c>
      <c r="AP1214">
        <v>79</v>
      </c>
      <c r="AQ1214">
        <v>54</v>
      </c>
      <c r="AR1214">
        <v>-960</v>
      </c>
      <c r="AZ1214">
        <v>1200</v>
      </c>
      <c r="BA1214">
        <v>1</v>
      </c>
      <c r="BB1214" t="str">
        <f t="shared" si="60"/>
        <v xml:space="preserve">N690LS  </v>
      </c>
      <c r="BC1214">
        <v>1</v>
      </c>
      <c r="BE1214">
        <v>0</v>
      </c>
      <c r="BF1214">
        <v>0</v>
      </c>
      <c r="BG1214">
        <v>0</v>
      </c>
      <c r="BH1214">
        <v>15575</v>
      </c>
      <c r="BI1214">
        <v>1</v>
      </c>
      <c r="BJ1214">
        <v>1</v>
      </c>
      <c r="BK1214">
        <v>1</v>
      </c>
      <c r="BL1214">
        <v>0</v>
      </c>
      <c r="BO1214">
        <v>0</v>
      </c>
      <c r="BP1214">
        <v>0</v>
      </c>
      <c r="BW1214" t="str">
        <f>"14:00:35.818"</f>
        <v>14:00:35.818</v>
      </c>
      <c r="CJ1214">
        <v>0</v>
      </c>
      <c r="CK1214">
        <v>2</v>
      </c>
      <c r="CL1214">
        <v>0</v>
      </c>
      <c r="CM1214">
        <v>2</v>
      </c>
      <c r="CN1214">
        <v>0</v>
      </c>
      <c r="CO1214">
        <v>7</v>
      </c>
      <c r="CP1214" t="s">
        <v>119</v>
      </c>
      <c r="CQ1214">
        <v>209</v>
      </c>
      <c r="CR1214">
        <v>3</v>
      </c>
      <c r="CW1214">
        <v>7303994</v>
      </c>
      <c r="CY1214">
        <v>1</v>
      </c>
      <c r="CZ1214">
        <v>0</v>
      </c>
      <c r="DA1214">
        <v>1</v>
      </c>
      <c r="DB1214">
        <v>0</v>
      </c>
      <c r="DC1214">
        <v>0</v>
      </c>
      <c r="DD1214">
        <v>1</v>
      </c>
      <c r="DE1214">
        <v>0</v>
      </c>
      <c r="DF1214">
        <v>0</v>
      </c>
      <c r="DG1214">
        <v>0</v>
      </c>
      <c r="DH1214">
        <v>0</v>
      </c>
      <c r="DI1214">
        <v>0</v>
      </c>
    </row>
    <row r="1215" spans="1:113" x14ac:dyDescent="0.3">
      <c r="A1215" t="str">
        <f>"09/28/2021 14:00:37.074"</f>
        <v>09/28/2021 14:00:37.074</v>
      </c>
      <c r="C1215" t="str">
        <f t="shared" si="59"/>
        <v>FFDFD3C0</v>
      </c>
      <c r="D1215" t="s">
        <v>120</v>
      </c>
      <c r="E1215">
        <v>12</v>
      </c>
      <c r="F1215">
        <v>1012</v>
      </c>
      <c r="G1215" t="s">
        <v>114</v>
      </c>
      <c r="J1215" t="s">
        <v>121</v>
      </c>
      <c r="K1215">
        <v>0</v>
      </c>
      <c r="L1215">
        <v>3</v>
      </c>
      <c r="M1215">
        <v>0</v>
      </c>
      <c r="N1215">
        <v>2</v>
      </c>
      <c r="O1215">
        <v>1</v>
      </c>
      <c r="P1215">
        <v>0</v>
      </c>
      <c r="Q1215">
        <v>0</v>
      </c>
      <c r="S1215" t="str">
        <f>"14:00:36.820"</f>
        <v>14:00:36.820</v>
      </c>
      <c r="T1215" t="str">
        <f>"14:00:36.320"</f>
        <v>14:00:36.320</v>
      </c>
      <c r="U1215" t="str">
        <f t="shared" si="58"/>
        <v>A92BC1</v>
      </c>
      <c r="V1215">
        <v>0</v>
      </c>
      <c r="W1215">
        <v>0</v>
      </c>
      <c r="X1215">
        <v>2</v>
      </c>
      <c r="Z1215">
        <v>0</v>
      </c>
      <c r="AA1215">
        <v>9</v>
      </c>
      <c r="AB1215">
        <v>3</v>
      </c>
      <c r="AC1215">
        <v>0</v>
      </c>
      <c r="AD1215">
        <v>10</v>
      </c>
      <c r="AE1215">
        <v>0</v>
      </c>
      <c r="AF1215">
        <v>3</v>
      </c>
      <c r="AG1215">
        <v>2</v>
      </c>
      <c r="AH1215">
        <v>0</v>
      </c>
      <c r="AI1215" t="s">
        <v>1316</v>
      </c>
      <c r="AJ1215">
        <v>45.925232999999999</v>
      </c>
      <c r="AK1215" t="s">
        <v>1317</v>
      </c>
      <c r="AL1215">
        <v>-89.034469000000001</v>
      </c>
      <c r="AM1215">
        <v>100</v>
      </c>
      <c r="AN1215">
        <v>15100</v>
      </c>
      <c r="AO1215" t="s">
        <v>118</v>
      </c>
      <c r="AP1215">
        <v>78</v>
      </c>
      <c r="AQ1215">
        <v>53</v>
      </c>
      <c r="AR1215">
        <v>-1152</v>
      </c>
      <c r="AZ1215">
        <v>1200</v>
      </c>
      <c r="BA1215">
        <v>1</v>
      </c>
      <c r="BB1215" t="str">
        <f t="shared" si="60"/>
        <v xml:space="preserve">N690LS  </v>
      </c>
      <c r="BC1215">
        <v>1</v>
      </c>
      <c r="BE1215">
        <v>0</v>
      </c>
      <c r="BF1215">
        <v>0</v>
      </c>
      <c r="BG1215">
        <v>0</v>
      </c>
      <c r="BH1215">
        <v>15550</v>
      </c>
      <c r="BI1215">
        <v>1</v>
      </c>
      <c r="BJ1215">
        <v>1</v>
      </c>
      <c r="BK1215">
        <v>1</v>
      </c>
      <c r="BL1215">
        <v>0</v>
      </c>
      <c r="BO1215">
        <v>0</v>
      </c>
      <c r="BP1215">
        <v>0</v>
      </c>
      <c r="BW1215" t="str">
        <f>"14:00:36.824"</f>
        <v>14:00:36.824</v>
      </c>
      <c r="CJ1215">
        <v>0</v>
      </c>
      <c r="CK1215">
        <v>2</v>
      </c>
      <c r="CL1215">
        <v>0</v>
      </c>
      <c r="CM1215">
        <v>2</v>
      </c>
      <c r="CN1215">
        <v>0</v>
      </c>
      <c r="CO1215">
        <v>7</v>
      </c>
      <c r="CP1215" t="s">
        <v>119</v>
      </c>
      <c r="CQ1215">
        <v>197</v>
      </c>
      <c r="CR1215">
        <v>0</v>
      </c>
      <c r="CW1215">
        <v>16116486</v>
      </c>
      <c r="CY1215">
        <v>1</v>
      </c>
      <c r="CZ1215">
        <v>0</v>
      </c>
      <c r="DA1215">
        <v>0</v>
      </c>
      <c r="DB1215">
        <v>0</v>
      </c>
      <c r="DC1215">
        <v>0</v>
      </c>
      <c r="DD1215">
        <v>1</v>
      </c>
      <c r="DE1215">
        <v>0</v>
      </c>
      <c r="DF1215">
        <v>0</v>
      </c>
      <c r="DG1215">
        <v>0</v>
      </c>
      <c r="DH1215">
        <v>0</v>
      </c>
      <c r="DI1215">
        <v>0</v>
      </c>
    </row>
    <row r="1216" spans="1:113" x14ac:dyDescent="0.3">
      <c r="A1216" t="str">
        <f>"09/28/2021 14:00:37.074"</f>
        <v>09/28/2021 14:00:37.074</v>
      </c>
      <c r="C1216" t="str">
        <f t="shared" si="59"/>
        <v>FFDFD3C0</v>
      </c>
      <c r="D1216" t="s">
        <v>113</v>
      </c>
      <c r="E1216">
        <v>7</v>
      </c>
      <c r="H1216">
        <v>170</v>
      </c>
      <c r="I1216" t="s">
        <v>114</v>
      </c>
      <c r="J1216" t="s">
        <v>115</v>
      </c>
      <c r="K1216">
        <v>0</v>
      </c>
      <c r="L1216">
        <v>3</v>
      </c>
      <c r="M1216">
        <v>0</v>
      </c>
      <c r="N1216">
        <v>2</v>
      </c>
      <c r="O1216">
        <v>1</v>
      </c>
      <c r="P1216">
        <v>0</v>
      </c>
      <c r="Q1216">
        <v>0</v>
      </c>
      <c r="S1216" t="str">
        <f>"14:00:36.820"</f>
        <v>14:00:36.820</v>
      </c>
      <c r="T1216" t="str">
        <f>"14:00:36.320"</f>
        <v>14:00:36.320</v>
      </c>
      <c r="U1216" t="str">
        <f t="shared" si="58"/>
        <v>A92BC1</v>
      </c>
      <c r="V1216">
        <v>0</v>
      </c>
      <c r="W1216">
        <v>0</v>
      </c>
      <c r="X1216">
        <v>2</v>
      </c>
      <c r="Z1216">
        <v>0</v>
      </c>
      <c r="AA1216">
        <v>9</v>
      </c>
      <c r="AB1216">
        <v>3</v>
      </c>
      <c r="AC1216">
        <v>0</v>
      </c>
      <c r="AD1216">
        <v>10</v>
      </c>
      <c r="AE1216">
        <v>0</v>
      </c>
      <c r="AF1216">
        <v>3</v>
      </c>
      <c r="AG1216">
        <v>2</v>
      </c>
      <c r="AH1216">
        <v>0</v>
      </c>
      <c r="AI1216" t="s">
        <v>1316</v>
      </c>
      <c r="AJ1216">
        <v>45.925232999999999</v>
      </c>
      <c r="AK1216" t="s">
        <v>1317</v>
      </c>
      <c r="AL1216">
        <v>-89.034469000000001</v>
      </c>
      <c r="AM1216">
        <v>100</v>
      </c>
      <c r="AN1216">
        <v>15100</v>
      </c>
      <c r="AO1216" t="s">
        <v>118</v>
      </c>
      <c r="AP1216">
        <v>78</v>
      </c>
      <c r="AQ1216">
        <v>53</v>
      </c>
      <c r="AR1216">
        <v>-1152</v>
      </c>
      <c r="AZ1216">
        <v>1200</v>
      </c>
      <c r="BA1216">
        <v>1</v>
      </c>
      <c r="BB1216" t="str">
        <f t="shared" si="60"/>
        <v xml:space="preserve">N690LS  </v>
      </c>
      <c r="BC1216">
        <v>1</v>
      </c>
      <c r="BE1216">
        <v>0</v>
      </c>
      <c r="BF1216">
        <v>0</v>
      </c>
      <c r="BG1216">
        <v>0</v>
      </c>
      <c r="BH1216">
        <v>15550</v>
      </c>
      <c r="BI1216">
        <v>1</v>
      </c>
      <c r="BJ1216">
        <v>1</v>
      </c>
      <c r="BK1216">
        <v>1</v>
      </c>
      <c r="BL1216">
        <v>0</v>
      </c>
      <c r="BO1216">
        <v>0</v>
      </c>
      <c r="BP1216">
        <v>0</v>
      </c>
      <c r="BW1216" t="str">
        <f>"14:00:36.824"</f>
        <v>14:00:36.824</v>
      </c>
      <c r="CJ1216">
        <v>0</v>
      </c>
      <c r="CK1216">
        <v>2</v>
      </c>
      <c r="CL1216">
        <v>0</v>
      </c>
      <c r="CM1216">
        <v>2</v>
      </c>
      <c r="CN1216">
        <v>0</v>
      </c>
      <c r="CO1216">
        <v>7</v>
      </c>
      <c r="CP1216" t="s">
        <v>119</v>
      </c>
      <c r="CQ1216">
        <v>197</v>
      </c>
      <c r="CR1216">
        <v>0</v>
      </c>
      <c r="CW1216">
        <v>16116486</v>
      </c>
      <c r="CY1216">
        <v>1</v>
      </c>
      <c r="CZ1216">
        <v>0</v>
      </c>
      <c r="DA1216">
        <v>1</v>
      </c>
      <c r="DB1216">
        <v>0</v>
      </c>
      <c r="DC1216">
        <v>0</v>
      </c>
      <c r="DD1216">
        <v>1</v>
      </c>
      <c r="DE1216">
        <v>0</v>
      </c>
      <c r="DF1216">
        <v>0</v>
      </c>
      <c r="DG1216">
        <v>0</v>
      </c>
      <c r="DH1216">
        <v>0</v>
      </c>
      <c r="DI1216">
        <v>0</v>
      </c>
    </row>
    <row r="1217" spans="1:113" x14ac:dyDescent="0.3">
      <c r="A1217" t="str">
        <f>"09/28/2021 14:00:38.012"</f>
        <v>09/28/2021 14:00:38.012</v>
      </c>
      <c r="C1217" t="str">
        <f t="shared" si="59"/>
        <v>FFDFD3C0</v>
      </c>
      <c r="D1217" t="s">
        <v>120</v>
      </c>
      <c r="E1217">
        <v>12</v>
      </c>
      <c r="F1217">
        <v>1012</v>
      </c>
      <c r="G1217" t="s">
        <v>114</v>
      </c>
      <c r="J1217" t="s">
        <v>121</v>
      </c>
      <c r="K1217">
        <v>0</v>
      </c>
      <c r="L1217">
        <v>3</v>
      </c>
      <c r="M1217">
        <v>0</v>
      </c>
      <c r="N1217">
        <v>2</v>
      </c>
      <c r="O1217">
        <v>1</v>
      </c>
      <c r="P1217">
        <v>0</v>
      </c>
      <c r="Q1217">
        <v>0</v>
      </c>
      <c r="S1217" t="str">
        <f>"14:00:37.797"</f>
        <v>14:00:37.797</v>
      </c>
      <c r="T1217" t="str">
        <f>"14:00:37.397"</f>
        <v>14:00:37.397</v>
      </c>
      <c r="U1217" t="str">
        <f t="shared" si="58"/>
        <v>A92BC1</v>
      </c>
      <c r="V1217">
        <v>0</v>
      </c>
      <c r="W1217">
        <v>0</v>
      </c>
      <c r="X1217">
        <v>2</v>
      </c>
      <c r="Z1217">
        <v>0</v>
      </c>
      <c r="AA1217">
        <v>9</v>
      </c>
      <c r="AB1217">
        <v>3</v>
      </c>
      <c r="AC1217">
        <v>0</v>
      </c>
      <c r="AD1217">
        <v>10</v>
      </c>
      <c r="AE1217">
        <v>0</v>
      </c>
      <c r="AF1217">
        <v>3</v>
      </c>
      <c r="AG1217">
        <v>2</v>
      </c>
      <c r="AH1217">
        <v>0</v>
      </c>
      <c r="AI1217" t="s">
        <v>1318</v>
      </c>
      <c r="AJ1217">
        <v>45.925469</v>
      </c>
      <c r="AK1217" t="s">
        <v>1319</v>
      </c>
      <c r="AL1217">
        <v>-89.033933000000005</v>
      </c>
      <c r="AM1217">
        <v>100</v>
      </c>
      <c r="AN1217">
        <v>15000</v>
      </c>
      <c r="AO1217" t="s">
        <v>118</v>
      </c>
      <c r="AP1217">
        <v>78</v>
      </c>
      <c r="AQ1217">
        <v>52</v>
      </c>
      <c r="AR1217">
        <v>-1344</v>
      </c>
      <c r="AZ1217">
        <v>1200</v>
      </c>
      <c r="BA1217">
        <v>1</v>
      </c>
      <c r="BB1217" t="str">
        <f t="shared" si="60"/>
        <v xml:space="preserve">N690LS  </v>
      </c>
      <c r="BC1217">
        <v>1</v>
      </c>
      <c r="BE1217">
        <v>0</v>
      </c>
      <c r="BF1217">
        <v>0</v>
      </c>
      <c r="BG1217">
        <v>0</v>
      </c>
      <c r="BH1217">
        <v>15550</v>
      </c>
      <c r="BI1217">
        <v>1</v>
      </c>
      <c r="BJ1217">
        <v>1</v>
      </c>
      <c r="BK1217">
        <v>1</v>
      </c>
      <c r="BL1217">
        <v>0</v>
      </c>
      <c r="BO1217">
        <v>0</v>
      </c>
      <c r="BP1217">
        <v>0</v>
      </c>
      <c r="BW1217" t="str">
        <f>"14:00:37.802"</f>
        <v>14:00:37.802</v>
      </c>
      <c r="CJ1217">
        <v>0</v>
      </c>
      <c r="CK1217">
        <v>2</v>
      </c>
      <c r="CL1217">
        <v>0</v>
      </c>
      <c r="CM1217">
        <v>2</v>
      </c>
      <c r="CN1217">
        <v>0</v>
      </c>
      <c r="CO1217">
        <v>7</v>
      </c>
      <c r="CP1217" t="s">
        <v>119</v>
      </c>
      <c r="CQ1217">
        <v>209</v>
      </c>
      <c r="CR1217">
        <v>3</v>
      </c>
      <c r="CW1217">
        <v>7304733</v>
      </c>
      <c r="CY1217">
        <v>1</v>
      </c>
      <c r="CZ1217">
        <v>0</v>
      </c>
      <c r="DA1217">
        <v>0</v>
      </c>
      <c r="DB1217">
        <v>0</v>
      </c>
      <c r="DC1217">
        <v>0</v>
      </c>
      <c r="DD1217">
        <v>1</v>
      </c>
      <c r="DE1217">
        <v>0</v>
      </c>
      <c r="DF1217">
        <v>0</v>
      </c>
      <c r="DG1217">
        <v>0</v>
      </c>
      <c r="DH1217">
        <v>0</v>
      </c>
      <c r="DI1217">
        <v>0</v>
      </c>
    </row>
    <row r="1218" spans="1:113" x14ac:dyDescent="0.3">
      <c r="A1218" t="str">
        <f>"09/28/2021 14:00:38.012"</f>
        <v>09/28/2021 14:00:38.012</v>
      </c>
      <c r="C1218" t="str">
        <f t="shared" si="59"/>
        <v>FFDFD3C0</v>
      </c>
      <c r="D1218" t="s">
        <v>113</v>
      </c>
      <c r="E1218">
        <v>7</v>
      </c>
      <c r="H1218">
        <v>170</v>
      </c>
      <c r="I1218" t="s">
        <v>114</v>
      </c>
      <c r="J1218" t="s">
        <v>115</v>
      </c>
      <c r="K1218">
        <v>0</v>
      </c>
      <c r="L1218">
        <v>3</v>
      </c>
      <c r="M1218">
        <v>0</v>
      </c>
      <c r="N1218">
        <v>2</v>
      </c>
      <c r="O1218">
        <v>1</v>
      </c>
      <c r="P1218">
        <v>0</v>
      </c>
      <c r="Q1218">
        <v>0</v>
      </c>
      <c r="S1218" t="str">
        <f>"14:00:37.797"</f>
        <v>14:00:37.797</v>
      </c>
      <c r="T1218" t="str">
        <f>"14:00:37.397"</f>
        <v>14:00:37.397</v>
      </c>
      <c r="U1218" t="str">
        <f t="shared" ref="U1218:U1256" si="61">"A92BC1"</f>
        <v>A92BC1</v>
      </c>
      <c r="V1218">
        <v>0</v>
      </c>
      <c r="W1218">
        <v>0</v>
      </c>
      <c r="X1218">
        <v>2</v>
      </c>
      <c r="Z1218">
        <v>0</v>
      </c>
      <c r="AA1218">
        <v>9</v>
      </c>
      <c r="AB1218">
        <v>3</v>
      </c>
      <c r="AC1218">
        <v>0</v>
      </c>
      <c r="AD1218">
        <v>10</v>
      </c>
      <c r="AE1218">
        <v>0</v>
      </c>
      <c r="AF1218">
        <v>3</v>
      </c>
      <c r="AG1218">
        <v>2</v>
      </c>
      <c r="AH1218">
        <v>0</v>
      </c>
      <c r="AI1218" t="s">
        <v>1318</v>
      </c>
      <c r="AJ1218">
        <v>45.925469</v>
      </c>
      <c r="AK1218" t="s">
        <v>1319</v>
      </c>
      <c r="AL1218">
        <v>-89.033933000000005</v>
      </c>
      <c r="AM1218">
        <v>100</v>
      </c>
      <c r="AN1218">
        <v>15000</v>
      </c>
      <c r="AO1218" t="s">
        <v>118</v>
      </c>
      <c r="AP1218">
        <v>78</v>
      </c>
      <c r="AQ1218">
        <v>52</v>
      </c>
      <c r="AR1218">
        <v>-1344</v>
      </c>
      <c r="AZ1218">
        <v>1200</v>
      </c>
      <c r="BA1218">
        <v>1</v>
      </c>
      <c r="BB1218" t="str">
        <f t="shared" si="60"/>
        <v xml:space="preserve">N690LS  </v>
      </c>
      <c r="BC1218">
        <v>1</v>
      </c>
      <c r="BE1218">
        <v>0</v>
      </c>
      <c r="BF1218">
        <v>0</v>
      </c>
      <c r="BG1218">
        <v>0</v>
      </c>
      <c r="BH1218">
        <v>15550</v>
      </c>
      <c r="BI1218">
        <v>1</v>
      </c>
      <c r="BJ1218">
        <v>1</v>
      </c>
      <c r="BK1218">
        <v>1</v>
      </c>
      <c r="BL1218">
        <v>0</v>
      </c>
      <c r="BO1218">
        <v>0</v>
      </c>
      <c r="BP1218">
        <v>0</v>
      </c>
      <c r="BW1218" t="str">
        <f>"14:00:37.802"</f>
        <v>14:00:37.802</v>
      </c>
      <c r="CJ1218">
        <v>0</v>
      </c>
      <c r="CK1218">
        <v>2</v>
      </c>
      <c r="CL1218">
        <v>0</v>
      </c>
      <c r="CM1218">
        <v>2</v>
      </c>
      <c r="CN1218">
        <v>0</v>
      </c>
      <c r="CO1218">
        <v>7</v>
      </c>
      <c r="CP1218" t="s">
        <v>119</v>
      </c>
      <c r="CQ1218">
        <v>209</v>
      </c>
      <c r="CR1218">
        <v>3</v>
      </c>
      <c r="CW1218">
        <v>7304733</v>
      </c>
      <c r="CY1218">
        <v>1</v>
      </c>
      <c r="CZ1218">
        <v>0</v>
      </c>
      <c r="DA1218">
        <v>1</v>
      </c>
      <c r="DB1218">
        <v>0</v>
      </c>
      <c r="DC1218">
        <v>0</v>
      </c>
      <c r="DD1218">
        <v>1</v>
      </c>
      <c r="DE1218">
        <v>0</v>
      </c>
      <c r="DF1218">
        <v>0</v>
      </c>
      <c r="DG1218">
        <v>0</v>
      </c>
      <c r="DH1218">
        <v>0</v>
      </c>
      <c r="DI1218">
        <v>0</v>
      </c>
    </row>
    <row r="1219" spans="1:113" x14ac:dyDescent="0.3">
      <c r="A1219" t="str">
        <f>"09/28/2021 14:00:38.934"</f>
        <v>09/28/2021 14:00:38.934</v>
      </c>
      <c r="C1219" t="str">
        <f t="shared" si="59"/>
        <v>FFDFD3C0</v>
      </c>
      <c r="D1219" t="s">
        <v>120</v>
      </c>
      <c r="E1219">
        <v>12</v>
      </c>
      <c r="F1219">
        <v>1012</v>
      </c>
      <c r="G1219" t="s">
        <v>114</v>
      </c>
      <c r="J1219" t="s">
        <v>121</v>
      </c>
      <c r="K1219">
        <v>0</v>
      </c>
      <c r="L1219">
        <v>3</v>
      </c>
      <c r="M1219">
        <v>0</v>
      </c>
      <c r="N1219">
        <v>2</v>
      </c>
      <c r="O1219">
        <v>1</v>
      </c>
      <c r="P1219">
        <v>0</v>
      </c>
      <c r="Q1219">
        <v>0</v>
      </c>
      <c r="S1219" t="str">
        <f>"14:00:38.734"</f>
        <v>14:00:38.734</v>
      </c>
      <c r="T1219" t="str">
        <f>"14:00:38.334"</f>
        <v>14:00:38.334</v>
      </c>
      <c r="U1219" t="str">
        <f t="shared" si="61"/>
        <v>A92BC1</v>
      </c>
      <c r="V1219">
        <v>0</v>
      </c>
      <c r="W1219">
        <v>0</v>
      </c>
      <c r="X1219">
        <v>2</v>
      </c>
      <c r="Z1219">
        <v>0</v>
      </c>
      <c r="AA1219">
        <v>9</v>
      </c>
      <c r="AB1219">
        <v>3</v>
      </c>
      <c r="AC1219">
        <v>0</v>
      </c>
      <c r="AD1219">
        <v>10</v>
      </c>
      <c r="AE1219">
        <v>0</v>
      </c>
      <c r="AF1219">
        <v>3</v>
      </c>
      <c r="AG1219">
        <v>2</v>
      </c>
      <c r="AH1219">
        <v>0</v>
      </c>
      <c r="AI1219" t="s">
        <v>1320</v>
      </c>
      <c r="AJ1219">
        <v>45.925683999999997</v>
      </c>
      <c r="AK1219" t="s">
        <v>1321</v>
      </c>
      <c r="AL1219">
        <v>-89.033395999999996</v>
      </c>
      <c r="AM1219">
        <v>100</v>
      </c>
      <c r="AN1219">
        <v>15000</v>
      </c>
      <c r="AO1219" t="s">
        <v>118</v>
      </c>
      <c r="AP1219">
        <v>81</v>
      </c>
      <c r="AQ1219">
        <v>51</v>
      </c>
      <c r="AR1219">
        <v>-1728</v>
      </c>
      <c r="AZ1219">
        <v>1200</v>
      </c>
      <c r="BA1219">
        <v>1</v>
      </c>
      <c r="BB1219" t="str">
        <f t="shared" si="60"/>
        <v xml:space="preserve">N690LS  </v>
      </c>
      <c r="BC1219">
        <v>1</v>
      </c>
      <c r="BE1219">
        <v>0</v>
      </c>
      <c r="BF1219">
        <v>0</v>
      </c>
      <c r="BG1219">
        <v>0</v>
      </c>
      <c r="BH1219">
        <v>15500</v>
      </c>
      <c r="BI1219">
        <v>1</v>
      </c>
      <c r="BJ1219">
        <v>1</v>
      </c>
      <c r="BK1219">
        <v>1</v>
      </c>
      <c r="BL1219">
        <v>0</v>
      </c>
      <c r="BO1219">
        <v>0</v>
      </c>
      <c r="BP1219">
        <v>0</v>
      </c>
      <c r="BW1219" t="str">
        <f>"14:00:38.736"</f>
        <v>14:00:38.736</v>
      </c>
      <c r="CJ1219">
        <v>0</v>
      </c>
      <c r="CK1219">
        <v>2</v>
      </c>
      <c r="CL1219">
        <v>0</v>
      </c>
      <c r="CM1219">
        <v>2</v>
      </c>
      <c r="CN1219">
        <v>0</v>
      </c>
      <c r="CO1219">
        <v>7</v>
      </c>
      <c r="CP1219" t="s">
        <v>119</v>
      </c>
      <c r="CQ1219">
        <v>209</v>
      </c>
      <c r="CR1219">
        <v>3</v>
      </c>
      <c r="CW1219">
        <v>7305072</v>
      </c>
      <c r="CY1219">
        <v>1</v>
      </c>
      <c r="CZ1219">
        <v>0</v>
      </c>
      <c r="DA1219">
        <v>0</v>
      </c>
      <c r="DB1219">
        <v>0</v>
      </c>
      <c r="DC1219">
        <v>0</v>
      </c>
      <c r="DD1219">
        <v>1</v>
      </c>
      <c r="DE1219">
        <v>0</v>
      </c>
      <c r="DF1219">
        <v>0</v>
      </c>
      <c r="DG1219">
        <v>0</v>
      </c>
      <c r="DH1219">
        <v>0</v>
      </c>
      <c r="DI1219">
        <v>0</v>
      </c>
    </row>
    <row r="1220" spans="1:113" x14ac:dyDescent="0.3">
      <c r="A1220" t="str">
        <f>"09/28/2021 14:00:38.950"</f>
        <v>09/28/2021 14:00:38.950</v>
      </c>
      <c r="C1220" t="str">
        <f t="shared" si="59"/>
        <v>FFDFD3C0</v>
      </c>
      <c r="D1220" t="s">
        <v>113</v>
      </c>
      <c r="E1220">
        <v>7</v>
      </c>
      <c r="H1220">
        <v>170</v>
      </c>
      <c r="I1220" t="s">
        <v>114</v>
      </c>
      <c r="J1220" t="s">
        <v>115</v>
      </c>
      <c r="K1220">
        <v>0</v>
      </c>
      <c r="L1220">
        <v>3</v>
      </c>
      <c r="M1220">
        <v>0</v>
      </c>
      <c r="N1220">
        <v>2</v>
      </c>
      <c r="O1220">
        <v>1</v>
      </c>
      <c r="P1220">
        <v>0</v>
      </c>
      <c r="Q1220">
        <v>0</v>
      </c>
      <c r="S1220" t="str">
        <f>"14:00:38.734"</f>
        <v>14:00:38.734</v>
      </c>
      <c r="T1220" t="str">
        <f>"14:00:38.334"</f>
        <v>14:00:38.334</v>
      </c>
      <c r="U1220" t="str">
        <f t="shared" si="61"/>
        <v>A92BC1</v>
      </c>
      <c r="V1220">
        <v>0</v>
      </c>
      <c r="W1220">
        <v>0</v>
      </c>
      <c r="X1220">
        <v>2</v>
      </c>
      <c r="Z1220">
        <v>0</v>
      </c>
      <c r="AA1220">
        <v>9</v>
      </c>
      <c r="AB1220">
        <v>3</v>
      </c>
      <c r="AC1220">
        <v>0</v>
      </c>
      <c r="AD1220">
        <v>10</v>
      </c>
      <c r="AE1220">
        <v>0</v>
      </c>
      <c r="AF1220">
        <v>3</v>
      </c>
      <c r="AG1220">
        <v>2</v>
      </c>
      <c r="AH1220">
        <v>0</v>
      </c>
      <c r="AI1220" t="s">
        <v>1320</v>
      </c>
      <c r="AJ1220">
        <v>45.925683999999997</v>
      </c>
      <c r="AK1220" t="s">
        <v>1321</v>
      </c>
      <c r="AL1220">
        <v>-89.033395999999996</v>
      </c>
      <c r="AM1220">
        <v>100</v>
      </c>
      <c r="AN1220">
        <v>15000</v>
      </c>
      <c r="AO1220" t="s">
        <v>118</v>
      </c>
      <c r="AP1220">
        <v>81</v>
      </c>
      <c r="AQ1220">
        <v>51</v>
      </c>
      <c r="AR1220">
        <v>-1728</v>
      </c>
      <c r="AZ1220">
        <v>1200</v>
      </c>
      <c r="BA1220">
        <v>1</v>
      </c>
      <c r="BB1220" t="str">
        <f t="shared" si="60"/>
        <v xml:space="preserve">N690LS  </v>
      </c>
      <c r="BC1220">
        <v>1</v>
      </c>
      <c r="BE1220">
        <v>0</v>
      </c>
      <c r="BF1220">
        <v>0</v>
      </c>
      <c r="BG1220">
        <v>0</v>
      </c>
      <c r="BH1220">
        <v>15500</v>
      </c>
      <c r="BI1220">
        <v>1</v>
      </c>
      <c r="BJ1220">
        <v>1</v>
      </c>
      <c r="BK1220">
        <v>1</v>
      </c>
      <c r="BL1220">
        <v>0</v>
      </c>
      <c r="BO1220">
        <v>0</v>
      </c>
      <c r="BP1220">
        <v>0</v>
      </c>
      <c r="BW1220" t="str">
        <f>"14:00:38.736"</f>
        <v>14:00:38.736</v>
      </c>
      <c r="CJ1220">
        <v>0</v>
      </c>
      <c r="CK1220">
        <v>2</v>
      </c>
      <c r="CL1220">
        <v>0</v>
      </c>
      <c r="CM1220">
        <v>2</v>
      </c>
      <c r="CN1220">
        <v>0</v>
      </c>
      <c r="CO1220">
        <v>7</v>
      </c>
      <c r="CP1220" t="s">
        <v>119</v>
      </c>
      <c r="CQ1220">
        <v>209</v>
      </c>
      <c r="CR1220">
        <v>3</v>
      </c>
      <c r="CW1220">
        <v>7305072</v>
      </c>
      <c r="CY1220">
        <v>1</v>
      </c>
      <c r="CZ1220">
        <v>0</v>
      </c>
      <c r="DA1220">
        <v>1</v>
      </c>
      <c r="DB1220">
        <v>0</v>
      </c>
      <c r="DC1220">
        <v>0</v>
      </c>
      <c r="DD1220">
        <v>1</v>
      </c>
      <c r="DE1220">
        <v>0</v>
      </c>
      <c r="DF1220">
        <v>0</v>
      </c>
      <c r="DG1220">
        <v>0</v>
      </c>
      <c r="DH1220">
        <v>0</v>
      </c>
      <c r="DI1220">
        <v>0</v>
      </c>
    </row>
    <row r="1221" spans="1:113" x14ac:dyDescent="0.3">
      <c r="A1221" t="str">
        <f>"09/28/2021 14:00:39.826"</f>
        <v>09/28/2021 14:00:39.826</v>
      </c>
      <c r="C1221" t="str">
        <f t="shared" si="59"/>
        <v>FFDFD3C0</v>
      </c>
      <c r="D1221" t="s">
        <v>120</v>
      </c>
      <c r="E1221">
        <v>12</v>
      </c>
      <c r="F1221">
        <v>1012</v>
      </c>
      <c r="G1221" t="s">
        <v>114</v>
      </c>
      <c r="J1221" t="s">
        <v>121</v>
      </c>
      <c r="K1221">
        <v>0</v>
      </c>
      <c r="L1221">
        <v>3</v>
      </c>
      <c r="M1221">
        <v>0</v>
      </c>
      <c r="N1221">
        <v>2</v>
      </c>
      <c r="O1221">
        <v>1</v>
      </c>
      <c r="P1221">
        <v>0</v>
      </c>
      <c r="Q1221">
        <v>0</v>
      </c>
      <c r="S1221" t="str">
        <f>"14:00:39.602"</f>
        <v>14:00:39.602</v>
      </c>
      <c r="T1221" t="str">
        <f>"14:00:39.202"</f>
        <v>14:00:39.202</v>
      </c>
      <c r="U1221" t="str">
        <f t="shared" si="61"/>
        <v>A92BC1</v>
      </c>
      <c r="V1221">
        <v>0</v>
      </c>
      <c r="W1221">
        <v>0</v>
      </c>
      <c r="X1221">
        <v>2</v>
      </c>
      <c r="Z1221">
        <v>0</v>
      </c>
      <c r="AA1221">
        <v>9</v>
      </c>
      <c r="AB1221">
        <v>3</v>
      </c>
      <c r="AC1221">
        <v>0</v>
      </c>
      <c r="AD1221">
        <v>10</v>
      </c>
      <c r="AE1221">
        <v>0</v>
      </c>
      <c r="AF1221">
        <v>3</v>
      </c>
      <c r="AG1221">
        <v>2</v>
      </c>
      <c r="AH1221">
        <v>0</v>
      </c>
      <c r="AI1221" t="s">
        <v>1322</v>
      </c>
      <c r="AJ1221">
        <v>45.925877</v>
      </c>
      <c r="AK1221" t="s">
        <v>1323</v>
      </c>
      <c r="AL1221">
        <v>-89.032945999999995</v>
      </c>
      <c r="AM1221">
        <v>100</v>
      </c>
      <c r="AN1221">
        <v>15000</v>
      </c>
      <c r="AO1221" t="s">
        <v>118</v>
      </c>
      <c r="AP1221">
        <v>88</v>
      </c>
      <c r="AQ1221">
        <v>48</v>
      </c>
      <c r="AR1221">
        <v>-1920</v>
      </c>
      <c r="AZ1221">
        <v>1200</v>
      </c>
      <c r="BA1221">
        <v>1</v>
      </c>
      <c r="BB1221" t="str">
        <f t="shared" si="60"/>
        <v xml:space="preserve">N690LS  </v>
      </c>
      <c r="BC1221">
        <v>1</v>
      </c>
      <c r="BE1221">
        <v>0</v>
      </c>
      <c r="BF1221">
        <v>0</v>
      </c>
      <c r="BG1221">
        <v>0</v>
      </c>
      <c r="BH1221">
        <v>15500</v>
      </c>
      <c r="BI1221">
        <v>1</v>
      </c>
      <c r="BJ1221">
        <v>1</v>
      </c>
      <c r="BK1221">
        <v>1</v>
      </c>
      <c r="BL1221">
        <v>0</v>
      </c>
      <c r="BO1221">
        <v>0</v>
      </c>
      <c r="BP1221">
        <v>0</v>
      </c>
      <c r="BW1221" t="str">
        <f>"14:00:39.606"</f>
        <v>14:00:39.606</v>
      </c>
      <c r="CJ1221">
        <v>0</v>
      </c>
      <c r="CK1221">
        <v>2</v>
      </c>
      <c r="CL1221">
        <v>0</v>
      </c>
      <c r="CM1221">
        <v>2</v>
      </c>
      <c r="CN1221">
        <v>0</v>
      </c>
      <c r="CO1221">
        <v>7</v>
      </c>
      <c r="CP1221" t="s">
        <v>119</v>
      </c>
      <c r="CQ1221">
        <v>197</v>
      </c>
      <c r="CR1221">
        <v>0</v>
      </c>
      <c r="CW1221">
        <v>16117329</v>
      </c>
      <c r="CY1221">
        <v>1</v>
      </c>
      <c r="CZ1221">
        <v>0</v>
      </c>
      <c r="DA1221">
        <v>0</v>
      </c>
      <c r="DB1221">
        <v>0</v>
      </c>
      <c r="DC1221">
        <v>0</v>
      </c>
      <c r="DD1221">
        <v>1</v>
      </c>
      <c r="DE1221">
        <v>0</v>
      </c>
      <c r="DF1221">
        <v>0</v>
      </c>
      <c r="DG1221">
        <v>0</v>
      </c>
      <c r="DH1221">
        <v>0</v>
      </c>
      <c r="DI1221">
        <v>0</v>
      </c>
    </row>
    <row r="1222" spans="1:113" x14ac:dyDescent="0.3">
      <c r="A1222" t="str">
        <f>"09/28/2021 14:00:39.873"</f>
        <v>09/28/2021 14:00:39.873</v>
      </c>
      <c r="C1222" t="str">
        <f t="shared" si="59"/>
        <v>FFDFD3C0</v>
      </c>
      <c r="D1222" t="s">
        <v>113</v>
      </c>
      <c r="E1222">
        <v>7</v>
      </c>
      <c r="H1222">
        <v>170</v>
      </c>
      <c r="I1222" t="s">
        <v>114</v>
      </c>
      <c r="J1222" t="s">
        <v>115</v>
      </c>
      <c r="K1222">
        <v>0</v>
      </c>
      <c r="L1222">
        <v>3</v>
      </c>
      <c r="M1222">
        <v>0</v>
      </c>
      <c r="N1222">
        <v>2</v>
      </c>
      <c r="O1222">
        <v>1</v>
      </c>
      <c r="P1222">
        <v>0</v>
      </c>
      <c r="Q1222">
        <v>0</v>
      </c>
      <c r="S1222" t="str">
        <f>"14:00:39.602"</f>
        <v>14:00:39.602</v>
      </c>
      <c r="T1222" t="str">
        <f>"14:00:39.202"</f>
        <v>14:00:39.202</v>
      </c>
      <c r="U1222" t="str">
        <f t="shared" si="61"/>
        <v>A92BC1</v>
      </c>
      <c r="V1222">
        <v>0</v>
      </c>
      <c r="W1222">
        <v>0</v>
      </c>
      <c r="X1222">
        <v>2</v>
      </c>
      <c r="Z1222">
        <v>0</v>
      </c>
      <c r="AA1222">
        <v>9</v>
      </c>
      <c r="AB1222">
        <v>3</v>
      </c>
      <c r="AC1222">
        <v>0</v>
      </c>
      <c r="AD1222">
        <v>10</v>
      </c>
      <c r="AE1222">
        <v>0</v>
      </c>
      <c r="AF1222">
        <v>3</v>
      </c>
      <c r="AG1222">
        <v>2</v>
      </c>
      <c r="AH1222">
        <v>0</v>
      </c>
      <c r="AI1222" t="s">
        <v>1322</v>
      </c>
      <c r="AJ1222">
        <v>45.925877</v>
      </c>
      <c r="AK1222" t="s">
        <v>1323</v>
      </c>
      <c r="AL1222">
        <v>-89.032945999999995</v>
      </c>
      <c r="AM1222">
        <v>100</v>
      </c>
      <c r="AN1222">
        <v>15000</v>
      </c>
      <c r="AO1222" t="s">
        <v>118</v>
      </c>
      <c r="AP1222">
        <v>88</v>
      </c>
      <c r="AQ1222">
        <v>48</v>
      </c>
      <c r="AR1222">
        <v>-1920</v>
      </c>
      <c r="AZ1222">
        <v>1200</v>
      </c>
      <c r="BA1222">
        <v>1</v>
      </c>
      <c r="BB1222" t="str">
        <f t="shared" si="60"/>
        <v xml:space="preserve">N690LS  </v>
      </c>
      <c r="BC1222">
        <v>1</v>
      </c>
      <c r="BE1222">
        <v>0</v>
      </c>
      <c r="BF1222">
        <v>0</v>
      </c>
      <c r="BG1222">
        <v>0</v>
      </c>
      <c r="BH1222">
        <v>15500</v>
      </c>
      <c r="BI1222">
        <v>1</v>
      </c>
      <c r="BJ1222">
        <v>1</v>
      </c>
      <c r="BK1222">
        <v>1</v>
      </c>
      <c r="BL1222">
        <v>0</v>
      </c>
      <c r="BO1222">
        <v>0</v>
      </c>
      <c r="BP1222">
        <v>0</v>
      </c>
      <c r="BW1222" t="str">
        <f>"14:00:39.606"</f>
        <v>14:00:39.606</v>
      </c>
      <c r="CJ1222">
        <v>0</v>
      </c>
      <c r="CK1222">
        <v>2</v>
      </c>
      <c r="CL1222">
        <v>0</v>
      </c>
      <c r="CM1222">
        <v>2</v>
      </c>
      <c r="CN1222">
        <v>0</v>
      </c>
      <c r="CO1222">
        <v>7</v>
      </c>
      <c r="CP1222" t="s">
        <v>119</v>
      </c>
      <c r="CQ1222">
        <v>197</v>
      </c>
      <c r="CR1222">
        <v>0</v>
      </c>
      <c r="CW1222">
        <v>16117329</v>
      </c>
      <c r="CY1222">
        <v>1</v>
      </c>
      <c r="CZ1222">
        <v>0</v>
      </c>
      <c r="DA1222">
        <v>1</v>
      </c>
      <c r="DB1222">
        <v>0</v>
      </c>
      <c r="DC1222">
        <v>0</v>
      </c>
      <c r="DD1222">
        <v>1</v>
      </c>
      <c r="DE1222">
        <v>0</v>
      </c>
      <c r="DF1222">
        <v>0</v>
      </c>
      <c r="DG1222">
        <v>0</v>
      </c>
      <c r="DH1222">
        <v>0</v>
      </c>
      <c r="DI1222">
        <v>0</v>
      </c>
    </row>
    <row r="1223" spans="1:113" x14ac:dyDescent="0.3">
      <c r="A1223" t="str">
        <f>"09/28/2021 14:00:40.607"</f>
        <v>09/28/2021 14:00:40.607</v>
      </c>
      <c r="C1223" t="str">
        <f t="shared" si="59"/>
        <v>FFDFD3C0</v>
      </c>
      <c r="D1223" t="s">
        <v>113</v>
      </c>
      <c r="E1223">
        <v>7</v>
      </c>
      <c r="H1223">
        <v>170</v>
      </c>
      <c r="I1223" t="s">
        <v>114</v>
      </c>
      <c r="J1223" t="s">
        <v>115</v>
      </c>
      <c r="K1223">
        <v>0</v>
      </c>
      <c r="L1223">
        <v>3</v>
      </c>
      <c r="M1223">
        <v>0</v>
      </c>
      <c r="N1223">
        <v>2</v>
      </c>
      <c r="O1223">
        <v>1</v>
      </c>
      <c r="P1223">
        <v>0</v>
      </c>
      <c r="Q1223">
        <v>0</v>
      </c>
      <c r="S1223" t="str">
        <f>"14:00:40.414"</f>
        <v>14:00:40.414</v>
      </c>
      <c r="T1223" t="str">
        <f>"14:00:40.014"</f>
        <v>14:00:40.014</v>
      </c>
      <c r="U1223" t="str">
        <f t="shared" si="61"/>
        <v>A92BC1</v>
      </c>
      <c r="V1223">
        <v>0</v>
      </c>
      <c r="W1223">
        <v>0</v>
      </c>
      <c r="X1223">
        <v>2</v>
      </c>
      <c r="Z1223">
        <v>0</v>
      </c>
      <c r="AA1223">
        <v>9</v>
      </c>
      <c r="AB1223">
        <v>3</v>
      </c>
      <c r="AC1223">
        <v>0</v>
      </c>
      <c r="AD1223">
        <v>10</v>
      </c>
      <c r="AE1223">
        <v>0</v>
      </c>
      <c r="AF1223">
        <v>3</v>
      </c>
      <c r="AG1223">
        <v>2</v>
      </c>
      <c r="AH1223">
        <v>0</v>
      </c>
      <c r="AI1223" t="s">
        <v>1324</v>
      </c>
      <c r="AJ1223">
        <v>45.926006000000001</v>
      </c>
      <c r="AK1223" t="s">
        <v>1325</v>
      </c>
      <c r="AL1223">
        <v>-89.032409000000001</v>
      </c>
      <c r="AM1223">
        <v>100</v>
      </c>
      <c r="AN1223">
        <v>14900</v>
      </c>
      <c r="AO1223" t="s">
        <v>118</v>
      </c>
      <c r="AP1223">
        <v>96</v>
      </c>
      <c r="AQ1223">
        <v>43</v>
      </c>
      <c r="AR1223">
        <v>-2240</v>
      </c>
      <c r="AZ1223">
        <v>1200</v>
      </c>
      <c r="BA1223">
        <v>1</v>
      </c>
      <c r="BB1223" t="str">
        <f t="shared" si="60"/>
        <v xml:space="preserve">N690LS  </v>
      </c>
      <c r="BC1223">
        <v>1</v>
      </c>
      <c r="BE1223">
        <v>0</v>
      </c>
      <c r="BF1223">
        <v>0</v>
      </c>
      <c r="BG1223">
        <v>0</v>
      </c>
      <c r="BH1223">
        <v>15450</v>
      </c>
      <c r="BI1223">
        <v>1</v>
      </c>
      <c r="BJ1223">
        <v>1</v>
      </c>
      <c r="BK1223">
        <v>1</v>
      </c>
      <c r="BL1223">
        <v>0</v>
      </c>
      <c r="BO1223">
        <v>0</v>
      </c>
      <c r="BP1223">
        <v>0</v>
      </c>
      <c r="BW1223" t="str">
        <f>"14:00:40.417"</f>
        <v>14:00:40.417</v>
      </c>
      <c r="CJ1223">
        <v>0</v>
      </c>
      <c r="CK1223">
        <v>2</v>
      </c>
      <c r="CL1223">
        <v>0</v>
      </c>
      <c r="CM1223">
        <v>2</v>
      </c>
      <c r="CN1223">
        <v>0</v>
      </c>
      <c r="CO1223">
        <v>7</v>
      </c>
      <c r="CP1223" t="s">
        <v>119</v>
      </c>
      <c r="CQ1223">
        <v>209</v>
      </c>
      <c r="CR1223">
        <v>3</v>
      </c>
      <c r="CW1223">
        <v>7305691</v>
      </c>
      <c r="CY1223">
        <v>1</v>
      </c>
      <c r="CZ1223">
        <v>0</v>
      </c>
      <c r="DA1223">
        <v>0</v>
      </c>
      <c r="DB1223">
        <v>0</v>
      </c>
      <c r="DC1223">
        <v>0</v>
      </c>
      <c r="DD1223">
        <v>1</v>
      </c>
      <c r="DE1223">
        <v>0</v>
      </c>
      <c r="DF1223">
        <v>0</v>
      </c>
      <c r="DG1223">
        <v>0</v>
      </c>
      <c r="DH1223">
        <v>0</v>
      </c>
      <c r="DI1223">
        <v>0</v>
      </c>
    </row>
    <row r="1224" spans="1:113" x14ac:dyDescent="0.3">
      <c r="A1224" t="str">
        <f>"09/28/2021 14:00:40.638"</f>
        <v>09/28/2021 14:00:40.638</v>
      </c>
      <c r="C1224" t="str">
        <f t="shared" si="59"/>
        <v>FFDFD3C0</v>
      </c>
      <c r="D1224" t="s">
        <v>120</v>
      </c>
      <c r="E1224">
        <v>12</v>
      </c>
      <c r="F1224">
        <v>1012</v>
      </c>
      <c r="G1224" t="s">
        <v>114</v>
      </c>
      <c r="J1224" t="s">
        <v>121</v>
      </c>
      <c r="K1224">
        <v>0</v>
      </c>
      <c r="L1224">
        <v>3</v>
      </c>
      <c r="M1224">
        <v>0</v>
      </c>
      <c r="N1224">
        <v>2</v>
      </c>
      <c r="O1224">
        <v>1</v>
      </c>
      <c r="P1224">
        <v>0</v>
      </c>
      <c r="Q1224">
        <v>0</v>
      </c>
      <c r="S1224" t="str">
        <f>"14:00:40.414"</f>
        <v>14:00:40.414</v>
      </c>
      <c r="T1224" t="str">
        <f>"14:00:40.014"</f>
        <v>14:00:40.014</v>
      </c>
      <c r="U1224" t="str">
        <f t="shared" si="61"/>
        <v>A92BC1</v>
      </c>
      <c r="V1224">
        <v>0</v>
      </c>
      <c r="W1224">
        <v>0</v>
      </c>
      <c r="X1224">
        <v>2</v>
      </c>
      <c r="Z1224">
        <v>0</v>
      </c>
      <c r="AA1224">
        <v>9</v>
      </c>
      <c r="AB1224">
        <v>3</v>
      </c>
      <c r="AC1224">
        <v>0</v>
      </c>
      <c r="AD1224">
        <v>10</v>
      </c>
      <c r="AE1224">
        <v>0</v>
      </c>
      <c r="AF1224">
        <v>3</v>
      </c>
      <c r="AG1224">
        <v>2</v>
      </c>
      <c r="AH1224">
        <v>0</v>
      </c>
      <c r="AI1224" t="s">
        <v>1324</v>
      </c>
      <c r="AJ1224">
        <v>45.926006000000001</v>
      </c>
      <c r="AK1224" t="s">
        <v>1325</v>
      </c>
      <c r="AL1224">
        <v>-89.032409000000001</v>
      </c>
      <c r="AM1224">
        <v>100</v>
      </c>
      <c r="AN1224">
        <v>14900</v>
      </c>
      <c r="AO1224" t="s">
        <v>118</v>
      </c>
      <c r="AP1224">
        <v>96</v>
      </c>
      <c r="AQ1224">
        <v>43</v>
      </c>
      <c r="AR1224">
        <v>-2240</v>
      </c>
      <c r="AZ1224">
        <v>1200</v>
      </c>
      <c r="BA1224">
        <v>1</v>
      </c>
      <c r="BB1224" t="str">
        <f t="shared" si="60"/>
        <v xml:space="preserve">N690LS  </v>
      </c>
      <c r="BC1224">
        <v>1</v>
      </c>
      <c r="BE1224">
        <v>0</v>
      </c>
      <c r="BF1224">
        <v>0</v>
      </c>
      <c r="BG1224">
        <v>0</v>
      </c>
      <c r="BH1224">
        <v>15450</v>
      </c>
      <c r="BI1224">
        <v>1</v>
      </c>
      <c r="BJ1224">
        <v>1</v>
      </c>
      <c r="BK1224">
        <v>1</v>
      </c>
      <c r="BL1224">
        <v>0</v>
      </c>
      <c r="BO1224">
        <v>0</v>
      </c>
      <c r="BP1224">
        <v>0</v>
      </c>
      <c r="BW1224" t="str">
        <f>"14:00:40.417"</f>
        <v>14:00:40.417</v>
      </c>
      <c r="CJ1224">
        <v>0</v>
      </c>
      <c r="CK1224">
        <v>2</v>
      </c>
      <c r="CL1224">
        <v>0</v>
      </c>
      <c r="CM1224">
        <v>2</v>
      </c>
      <c r="CN1224">
        <v>0</v>
      </c>
      <c r="CO1224">
        <v>7</v>
      </c>
      <c r="CP1224" t="s">
        <v>119</v>
      </c>
      <c r="CQ1224">
        <v>209</v>
      </c>
      <c r="CR1224">
        <v>3</v>
      </c>
      <c r="CW1224">
        <v>7305691</v>
      </c>
      <c r="CY1224">
        <v>1</v>
      </c>
      <c r="CZ1224">
        <v>0</v>
      </c>
      <c r="DA1224">
        <v>1</v>
      </c>
      <c r="DB1224">
        <v>0</v>
      </c>
      <c r="DC1224">
        <v>0</v>
      </c>
      <c r="DD1224">
        <v>1</v>
      </c>
      <c r="DE1224">
        <v>0</v>
      </c>
      <c r="DF1224">
        <v>0</v>
      </c>
      <c r="DG1224">
        <v>0</v>
      </c>
      <c r="DH1224">
        <v>0</v>
      </c>
      <c r="DI1224">
        <v>0</v>
      </c>
    </row>
    <row r="1225" spans="1:113" x14ac:dyDescent="0.3">
      <c r="A1225" t="str">
        <f>"09/28/2021 14:00:41.699"</f>
        <v>09/28/2021 14:00:41.699</v>
      </c>
      <c r="C1225" t="str">
        <f t="shared" si="59"/>
        <v>FFDFD3C0</v>
      </c>
      <c r="D1225" t="s">
        <v>120</v>
      </c>
      <c r="E1225">
        <v>12</v>
      </c>
      <c r="F1225">
        <v>1012</v>
      </c>
      <c r="G1225" t="s">
        <v>114</v>
      </c>
      <c r="J1225" t="s">
        <v>121</v>
      </c>
      <c r="K1225">
        <v>0</v>
      </c>
      <c r="L1225">
        <v>3</v>
      </c>
      <c r="M1225">
        <v>0</v>
      </c>
      <c r="N1225">
        <v>2</v>
      </c>
      <c r="O1225">
        <v>1</v>
      </c>
      <c r="P1225">
        <v>0</v>
      </c>
      <c r="Q1225">
        <v>0</v>
      </c>
      <c r="S1225" t="str">
        <f>"14:00:41.484"</f>
        <v>14:00:41.484</v>
      </c>
      <c r="T1225" t="str">
        <f>"14:00:40.984"</f>
        <v>14:00:40.984</v>
      </c>
      <c r="U1225" t="str">
        <f t="shared" si="61"/>
        <v>A92BC1</v>
      </c>
      <c r="V1225">
        <v>0</v>
      </c>
      <c r="W1225">
        <v>0</v>
      </c>
      <c r="X1225">
        <v>2</v>
      </c>
      <c r="Z1225">
        <v>0</v>
      </c>
      <c r="AA1225">
        <v>9</v>
      </c>
      <c r="AB1225">
        <v>3</v>
      </c>
      <c r="AC1225">
        <v>0</v>
      </c>
      <c r="AD1225">
        <v>10</v>
      </c>
      <c r="AE1225">
        <v>0</v>
      </c>
      <c r="AF1225">
        <v>3</v>
      </c>
      <c r="AG1225">
        <v>2</v>
      </c>
      <c r="AH1225">
        <v>0</v>
      </c>
      <c r="AI1225" t="s">
        <v>1326</v>
      </c>
      <c r="AJ1225">
        <v>45.926155999999999</v>
      </c>
      <c r="AK1225" t="s">
        <v>1327</v>
      </c>
      <c r="AL1225">
        <v>-89.031550999999993</v>
      </c>
      <c r="AM1225">
        <v>100</v>
      </c>
      <c r="AN1225">
        <v>14900</v>
      </c>
      <c r="AO1225" t="s">
        <v>118</v>
      </c>
      <c r="AP1225">
        <v>107</v>
      </c>
      <c r="AQ1225">
        <v>32</v>
      </c>
      <c r="AR1225">
        <v>-3136</v>
      </c>
      <c r="AZ1225">
        <v>1200</v>
      </c>
      <c r="BA1225">
        <v>1</v>
      </c>
      <c r="BB1225" t="str">
        <f t="shared" si="60"/>
        <v xml:space="preserve">N690LS  </v>
      </c>
      <c r="BC1225">
        <v>1</v>
      </c>
      <c r="BE1225">
        <v>0</v>
      </c>
      <c r="BF1225">
        <v>0</v>
      </c>
      <c r="BG1225">
        <v>0</v>
      </c>
      <c r="BH1225">
        <v>15425</v>
      </c>
      <c r="BI1225">
        <v>1</v>
      </c>
      <c r="BJ1225">
        <v>1</v>
      </c>
      <c r="BK1225">
        <v>1</v>
      </c>
      <c r="BL1225">
        <v>0</v>
      </c>
      <c r="BO1225">
        <v>0</v>
      </c>
      <c r="BP1225">
        <v>0</v>
      </c>
      <c r="BW1225" t="str">
        <f>"14:00:41.488"</f>
        <v>14:00:41.488</v>
      </c>
      <c r="CJ1225">
        <v>0</v>
      </c>
      <c r="CK1225">
        <v>2</v>
      </c>
      <c r="CL1225">
        <v>0</v>
      </c>
      <c r="CM1225">
        <v>2</v>
      </c>
      <c r="CN1225">
        <v>0</v>
      </c>
      <c r="CO1225">
        <v>6</v>
      </c>
      <c r="CP1225" t="s">
        <v>119</v>
      </c>
      <c r="CQ1225">
        <v>209</v>
      </c>
      <c r="CR1225">
        <v>3</v>
      </c>
      <c r="CW1225">
        <v>7306123</v>
      </c>
      <c r="CY1225">
        <v>1</v>
      </c>
      <c r="CZ1225">
        <v>0</v>
      </c>
      <c r="DA1225">
        <v>0</v>
      </c>
      <c r="DB1225">
        <v>0</v>
      </c>
      <c r="DC1225">
        <v>0</v>
      </c>
      <c r="DD1225">
        <v>1</v>
      </c>
      <c r="DE1225">
        <v>0</v>
      </c>
      <c r="DF1225">
        <v>0</v>
      </c>
      <c r="DG1225">
        <v>0</v>
      </c>
      <c r="DH1225">
        <v>0</v>
      </c>
      <c r="DI1225">
        <v>0</v>
      </c>
    </row>
    <row r="1226" spans="1:113" x14ac:dyDescent="0.3">
      <c r="A1226" t="str">
        <f>"09/28/2021 14:00:41.715"</f>
        <v>09/28/2021 14:00:41.715</v>
      </c>
      <c r="C1226" t="str">
        <f t="shared" si="59"/>
        <v>FFDFD3C0</v>
      </c>
      <c r="D1226" t="s">
        <v>113</v>
      </c>
      <c r="E1226">
        <v>7</v>
      </c>
      <c r="H1226">
        <v>170</v>
      </c>
      <c r="I1226" t="s">
        <v>114</v>
      </c>
      <c r="J1226" t="s">
        <v>115</v>
      </c>
      <c r="K1226">
        <v>0</v>
      </c>
      <c r="L1226">
        <v>3</v>
      </c>
      <c r="M1226">
        <v>0</v>
      </c>
      <c r="N1226">
        <v>2</v>
      </c>
      <c r="O1226">
        <v>1</v>
      </c>
      <c r="P1226">
        <v>0</v>
      </c>
      <c r="Q1226">
        <v>0</v>
      </c>
      <c r="S1226" t="str">
        <f>"14:00:41.484"</f>
        <v>14:00:41.484</v>
      </c>
      <c r="T1226" t="str">
        <f>"14:00:40.984"</f>
        <v>14:00:40.984</v>
      </c>
      <c r="U1226" t="str">
        <f t="shared" si="61"/>
        <v>A92BC1</v>
      </c>
      <c r="V1226">
        <v>0</v>
      </c>
      <c r="W1226">
        <v>0</v>
      </c>
      <c r="X1226">
        <v>2</v>
      </c>
      <c r="Z1226">
        <v>0</v>
      </c>
      <c r="AA1226">
        <v>9</v>
      </c>
      <c r="AB1226">
        <v>3</v>
      </c>
      <c r="AC1226">
        <v>0</v>
      </c>
      <c r="AD1226">
        <v>10</v>
      </c>
      <c r="AE1226">
        <v>0</v>
      </c>
      <c r="AF1226">
        <v>3</v>
      </c>
      <c r="AG1226">
        <v>2</v>
      </c>
      <c r="AH1226">
        <v>0</v>
      </c>
      <c r="AI1226" t="s">
        <v>1326</v>
      </c>
      <c r="AJ1226">
        <v>45.926155999999999</v>
      </c>
      <c r="AK1226" t="s">
        <v>1327</v>
      </c>
      <c r="AL1226">
        <v>-89.031550999999993</v>
      </c>
      <c r="AM1226">
        <v>100</v>
      </c>
      <c r="AN1226">
        <v>14900</v>
      </c>
      <c r="AO1226" t="s">
        <v>118</v>
      </c>
      <c r="AP1226">
        <v>107</v>
      </c>
      <c r="AQ1226">
        <v>32</v>
      </c>
      <c r="AR1226">
        <v>-3136</v>
      </c>
      <c r="AZ1226">
        <v>1200</v>
      </c>
      <c r="BA1226">
        <v>1</v>
      </c>
      <c r="BB1226" t="str">
        <f t="shared" si="60"/>
        <v xml:space="preserve">N690LS  </v>
      </c>
      <c r="BC1226">
        <v>1</v>
      </c>
      <c r="BE1226">
        <v>0</v>
      </c>
      <c r="BF1226">
        <v>0</v>
      </c>
      <c r="BG1226">
        <v>0</v>
      </c>
      <c r="BH1226">
        <v>15425</v>
      </c>
      <c r="BI1226">
        <v>1</v>
      </c>
      <c r="BJ1226">
        <v>1</v>
      </c>
      <c r="BK1226">
        <v>1</v>
      </c>
      <c r="BL1226">
        <v>0</v>
      </c>
      <c r="BO1226">
        <v>0</v>
      </c>
      <c r="BP1226">
        <v>0</v>
      </c>
      <c r="BW1226" t="str">
        <f>"14:00:41.488"</f>
        <v>14:00:41.488</v>
      </c>
      <c r="CJ1226">
        <v>0</v>
      </c>
      <c r="CK1226">
        <v>2</v>
      </c>
      <c r="CL1226">
        <v>0</v>
      </c>
      <c r="CM1226">
        <v>2</v>
      </c>
      <c r="CN1226">
        <v>0</v>
      </c>
      <c r="CO1226">
        <v>6</v>
      </c>
      <c r="CP1226" t="s">
        <v>119</v>
      </c>
      <c r="CQ1226">
        <v>209</v>
      </c>
      <c r="CR1226">
        <v>3</v>
      </c>
      <c r="CW1226">
        <v>7306123</v>
      </c>
      <c r="CY1226">
        <v>1</v>
      </c>
      <c r="CZ1226">
        <v>0</v>
      </c>
      <c r="DA1226">
        <v>1</v>
      </c>
      <c r="DB1226">
        <v>0</v>
      </c>
      <c r="DC1226">
        <v>0</v>
      </c>
      <c r="DD1226">
        <v>1</v>
      </c>
      <c r="DE1226">
        <v>0</v>
      </c>
      <c r="DF1226">
        <v>0</v>
      </c>
      <c r="DG1226">
        <v>0</v>
      </c>
      <c r="DH1226">
        <v>0</v>
      </c>
      <c r="DI1226">
        <v>0</v>
      </c>
    </row>
    <row r="1227" spans="1:113" x14ac:dyDescent="0.3">
      <c r="A1227" t="str">
        <f>"09/28/2021 14:00:42.699"</f>
        <v>09/28/2021 14:00:42.699</v>
      </c>
      <c r="C1227" t="str">
        <f t="shared" si="59"/>
        <v>FFDFD3C0</v>
      </c>
      <c r="D1227" t="s">
        <v>113</v>
      </c>
      <c r="E1227">
        <v>7</v>
      </c>
      <c r="H1227">
        <v>170</v>
      </c>
      <c r="I1227" t="s">
        <v>114</v>
      </c>
      <c r="J1227" t="s">
        <v>115</v>
      </c>
      <c r="K1227">
        <v>0</v>
      </c>
      <c r="L1227">
        <v>3</v>
      </c>
      <c r="M1227">
        <v>0</v>
      </c>
      <c r="N1227">
        <v>2</v>
      </c>
      <c r="O1227">
        <v>1</v>
      </c>
      <c r="P1227">
        <v>0</v>
      </c>
      <c r="Q1227">
        <v>0</v>
      </c>
      <c r="S1227" t="str">
        <f>"14:00:42.492"</f>
        <v>14:00:42.492</v>
      </c>
      <c r="T1227" t="str">
        <f>"14:00:41.992"</f>
        <v>14:00:41.992</v>
      </c>
      <c r="U1227" t="str">
        <f t="shared" si="61"/>
        <v>A92BC1</v>
      </c>
      <c r="V1227">
        <v>0</v>
      </c>
      <c r="W1227">
        <v>0</v>
      </c>
      <c r="X1227">
        <v>2</v>
      </c>
      <c r="Z1227">
        <v>0</v>
      </c>
      <c r="AA1227">
        <v>9</v>
      </c>
      <c r="AB1227">
        <v>3</v>
      </c>
      <c r="AC1227">
        <v>0</v>
      </c>
      <c r="AD1227">
        <v>10</v>
      </c>
      <c r="AE1227">
        <v>0</v>
      </c>
      <c r="AF1227">
        <v>3</v>
      </c>
      <c r="AG1227">
        <v>2</v>
      </c>
      <c r="AH1227">
        <v>0</v>
      </c>
      <c r="AI1227" t="s">
        <v>1326</v>
      </c>
      <c r="AJ1227">
        <v>45.926155999999999</v>
      </c>
      <c r="AK1227" t="s">
        <v>1328</v>
      </c>
      <c r="AL1227">
        <v>-89.030735000000007</v>
      </c>
      <c r="AM1227">
        <v>100</v>
      </c>
      <c r="AN1227">
        <v>14800</v>
      </c>
      <c r="AO1227" t="s">
        <v>118</v>
      </c>
      <c r="AP1227">
        <v>119</v>
      </c>
      <c r="AQ1227">
        <v>14</v>
      </c>
      <c r="AR1227">
        <v>-4352</v>
      </c>
      <c r="AZ1227">
        <v>1200</v>
      </c>
      <c r="BA1227">
        <v>1</v>
      </c>
      <c r="BB1227" t="str">
        <f t="shared" si="60"/>
        <v xml:space="preserve">N690LS  </v>
      </c>
      <c r="BC1227">
        <v>1</v>
      </c>
      <c r="BE1227">
        <v>0</v>
      </c>
      <c r="BF1227">
        <v>0</v>
      </c>
      <c r="BG1227">
        <v>0</v>
      </c>
      <c r="BH1227">
        <v>15350</v>
      </c>
      <c r="BI1227">
        <v>1</v>
      </c>
      <c r="BJ1227">
        <v>1</v>
      </c>
      <c r="BK1227">
        <v>1</v>
      </c>
      <c r="BL1227">
        <v>0</v>
      </c>
      <c r="BO1227">
        <v>0</v>
      </c>
      <c r="BP1227">
        <v>0</v>
      </c>
      <c r="BW1227" t="str">
        <f>"14:00:42.494"</f>
        <v>14:00:42.494</v>
      </c>
      <c r="CJ1227">
        <v>0</v>
      </c>
      <c r="CK1227">
        <v>2</v>
      </c>
      <c r="CL1227">
        <v>0</v>
      </c>
      <c r="CM1227">
        <v>2</v>
      </c>
      <c r="CN1227">
        <v>0</v>
      </c>
      <c r="CO1227">
        <v>6</v>
      </c>
      <c r="CP1227" t="s">
        <v>119</v>
      </c>
      <c r="CQ1227">
        <v>209</v>
      </c>
      <c r="CR1227">
        <v>3</v>
      </c>
      <c r="CW1227">
        <v>7306511</v>
      </c>
      <c r="CY1227">
        <v>1</v>
      </c>
      <c r="CZ1227">
        <v>0</v>
      </c>
      <c r="DA1227">
        <v>0</v>
      </c>
      <c r="DB1227">
        <v>0</v>
      </c>
      <c r="DC1227">
        <v>0</v>
      </c>
      <c r="DD1227">
        <v>1</v>
      </c>
      <c r="DE1227">
        <v>0</v>
      </c>
      <c r="DF1227">
        <v>0</v>
      </c>
      <c r="DG1227">
        <v>0</v>
      </c>
      <c r="DH1227">
        <v>0</v>
      </c>
      <c r="DI1227">
        <v>0</v>
      </c>
    </row>
    <row r="1228" spans="1:113" x14ac:dyDescent="0.3">
      <c r="A1228" t="str">
        <f>"09/28/2021 14:00:42.699"</f>
        <v>09/28/2021 14:00:42.699</v>
      </c>
      <c r="C1228" t="str">
        <f t="shared" si="59"/>
        <v>FFDFD3C0</v>
      </c>
      <c r="D1228" t="s">
        <v>120</v>
      </c>
      <c r="E1228">
        <v>12</v>
      </c>
      <c r="F1228">
        <v>1012</v>
      </c>
      <c r="G1228" t="s">
        <v>114</v>
      </c>
      <c r="J1228" t="s">
        <v>121</v>
      </c>
      <c r="K1228">
        <v>0</v>
      </c>
      <c r="L1228">
        <v>3</v>
      </c>
      <c r="M1228">
        <v>0</v>
      </c>
      <c r="N1228">
        <v>2</v>
      </c>
      <c r="O1228">
        <v>1</v>
      </c>
      <c r="P1228">
        <v>0</v>
      </c>
      <c r="Q1228">
        <v>0</v>
      </c>
      <c r="S1228" t="str">
        <f>"14:00:42.492"</f>
        <v>14:00:42.492</v>
      </c>
      <c r="T1228" t="str">
        <f>"14:00:41.992"</f>
        <v>14:00:41.992</v>
      </c>
      <c r="U1228" t="str">
        <f t="shared" si="61"/>
        <v>A92BC1</v>
      </c>
      <c r="V1228">
        <v>0</v>
      </c>
      <c r="W1228">
        <v>0</v>
      </c>
      <c r="X1228">
        <v>2</v>
      </c>
      <c r="Z1228">
        <v>0</v>
      </c>
      <c r="AA1228">
        <v>9</v>
      </c>
      <c r="AB1228">
        <v>3</v>
      </c>
      <c r="AC1228">
        <v>0</v>
      </c>
      <c r="AD1228">
        <v>10</v>
      </c>
      <c r="AE1228">
        <v>0</v>
      </c>
      <c r="AF1228">
        <v>3</v>
      </c>
      <c r="AG1228">
        <v>2</v>
      </c>
      <c r="AH1228">
        <v>0</v>
      </c>
      <c r="AI1228" t="s">
        <v>1326</v>
      </c>
      <c r="AJ1228">
        <v>45.926155999999999</v>
      </c>
      <c r="AK1228" t="s">
        <v>1328</v>
      </c>
      <c r="AL1228">
        <v>-89.030735000000007</v>
      </c>
      <c r="AM1228">
        <v>100</v>
      </c>
      <c r="AN1228">
        <v>14800</v>
      </c>
      <c r="AO1228" t="s">
        <v>118</v>
      </c>
      <c r="AP1228">
        <v>119</v>
      </c>
      <c r="AQ1228">
        <v>14</v>
      </c>
      <c r="AR1228">
        <v>-4352</v>
      </c>
      <c r="AZ1228">
        <v>1200</v>
      </c>
      <c r="BA1228">
        <v>1</v>
      </c>
      <c r="BB1228" t="str">
        <f t="shared" si="60"/>
        <v xml:space="preserve">N690LS  </v>
      </c>
      <c r="BC1228">
        <v>1</v>
      </c>
      <c r="BE1228">
        <v>0</v>
      </c>
      <c r="BF1228">
        <v>0</v>
      </c>
      <c r="BG1228">
        <v>0</v>
      </c>
      <c r="BH1228">
        <v>15350</v>
      </c>
      <c r="BI1228">
        <v>1</v>
      </c>
      <c r="BJ1228">
        <v>1</v>
      </c>
      <c r="BK1228">
        <v>1</v>
      </c>
      <c r="BL1228">
        <v>0</v>
      </c>
      <c r="BO1228">
        <v>0</v>
      </c>
      <c r="BP1228">
        <v>0</v>
      </c>
      <c r="BW1228" t="str">
        <f>"14:00:42.494"</f>
        <v>14:00:42.494</v>
      </c>
      <c r="CJ1228">
        <v>0</v>
      </c>
      <c r="CK1228">
        <v>2</v>
      </c>
      <c r="CL1228">
        <v>0</v>
      </c>
      <c r="CM1228">
        <v>2</v>
      </c>
      <c r="CN1228">
        <v>0</v>
      </c>
      <c r="CO1228">
        <v>6</v>
      </c>
      <c r="CP1228" t="s">
        <v>119</v>
      </c>
      <c r="CQ1228">
        <v>209</v>
      </c>
      <c r="CR1228">
        <v>3</v>
      </c>
      <c r="CW1228">
        <v>7306511</v>
      </c>
      <c r="CY1228">
        <v>1</v>
      </c>
      <c r="CZ1228">
        <v>0</v>
      </c>
      <c r="DA1228">
        <v>1</v>
      </c>
      <c r="DB1228">
        <v>0</v>
      </c>
      <c r="DC1228">
        <v>0</v>
      </c>
      <c r="DD1228">
        <v>1</v>
      </c>
      <c r="DE1228">
        <v>0</v>
      </c>
      <c r="DF1228">
        <v>0</v>
      </c>
      <c r="DG1228">
        <v>0</v>
      </c>
      <c r="DH1228">
        <v>0</v>
      </c>
      <c r="DI1228">
        <v>0</v>
      </c>
    </row>
    <row r="1229" spans="1:113" x14ac:dyDescent="0.3">
      <c r="A1229" t="str">
        <f>"09/28/2021 14:00:43.606"</f>
        <v>09/28/2021 14:00:43.606</v>
      </c>
      <c r="C1229" t="str">
        <f t="shared" si="59"/>
        <v>FFDFD3C0</v>
      </c>
      <c r="D1229" t="s">
        <v>113</v>
      </c>
      <c r="E1229">
        <v>7</v>
      </c>
      <c r="H1229">
        <v>170</v>
      </c>
      <c r="I1229" t="s">
        <v>114</v>
      </c>
      <c r="J1229" t="s">
        <v>115</v>
      </c>
      <c r="K1229">
        <v>0</v>
      </c>
      <c r="L1229">
        <v>3</v>
      </c>
      <c r="M1229">
        <v>0</v>
      </c>
      <c r="N1229">
        <v>2</v>
      </c>
      <c r="O1229">
        <v>1</v>
      </c>
      <c r="P1229">
        <v>0</v>
      </c>
      <c r="Q1229">
        <v>0</v>
      </c>
      <c r="S1229" t="str">
        <f>"14:00:43.391"</f>
        <v>14:00:43.391</v>
      </c>
      <c r="T1229" t="str">
        <f>"14:00:42.991"</f>
        <v>14:00:42.991</v>
      </c>
      <c r="U1229" t="str">
        <f t="shared" si="61"/>
        <v>A92BC1</v>
      </c>
      <c r="V1229">
        <v>0</v>
      </c>
      <c r="W1229">
        <v>0</v>
      </c>
      <c r="X1229">
        <v>2</v>
      </c>
      <c r="Z1229">
        <v>0</v>
      </c>
      <c r="AA1229">
        <v>9</v>
      </c>
      <c r="AB1229">
        <v>3</v>
      </c>
      <c r="AC1229">
        <v>0</v>
      </c>
      <c r="AD1229">
        <v>10</v>
      </c>
      <c r="AE1229">
        <v>0</v>
      </c>
      <c r="AF1229">
        <v>3</v>
      </c>
      <c r="AG1229">
        <v>2</v>
      </c>
      <c r="AH1229">
        <v>0</v>
      </c>
      <c r="AI1229" t="s">
        <v>1329</v>
      </c>
      <c r="AJ1229">
        <v>45.926091999999997</v>
      </c>
      <c r="AK1229" t="s">
        <v>1330</v>
      </c>
      <c r="AL1229">
        <v>-89.029983999999999</v>
      </c>
      <c r="AM1229">
        <v>100</v>
      </c>
      <c r="AN1229">
        <v>14700</v>
      </c>
      <c r="AO1229" t="s">
        <v>118</v>
      </c>
      <c r="AP1229">
        <v>125</v>
      </c>
      <c r="AQ1229">
        <v>-6</v>
      </c>
      <c r="AR1229">
        <v>-5632</v>
      </c>
      <c r="AZ1229">
        <v>1200</v>
      </c>
      <c r="BA1229">
        <v>1</v>
      </c>
      <c r="BB1229" t="str">
        <f t="shared" si="60"/>
        <v xml:space="preserve">N690LS  </v>
      </c>
      <c r="BC1229">
        <v>1</v>
      </c>
      <c r="BE1229">
        <v>0</v>
      </c>
      <c r="BF1229">
        <v>0</v>
      </c>
      <c r="BG1229">
        <v>0</v>
      </c>
      <c r="BH1229">
        <v>15275</v>
      </c>
      <c r="BI1229">
        <v>1</v>
      </c>
      <c r="BJ1229">
        <v>1</v>
      </c>
      <c r="BK1229">
        <v>1</v>
      </c>
      <c r="BL1229">
        <v>0</v>
      </c>
      <c r="BO1229">
        <v>0</v>
      </c>
      <c r="BP1229">
        <v>0</v>
      </c>
      <c r="BW1229" t="str">
        <f>"14:00:43.397"</f>
        <v>14:00:43.397</v>
      </c>
      <c r="CJ1229">
        <v>0</v>
      </c>
      <c r="CK1229">
        <v>2</v>
      </c>
      <c r="CL1229">
        <v>0</v>
      </c>
      <c r="CM1229">
        <v>2</v>
      </c>
      <c r="CN1229">
        <v>0</v>
      </c>
      <c r="CO1229">
        <v>7</v>
      </c>
      <c r="CP1229" t="s">
        <v>119</v>
      </c>
      <c r="CQ1229">
        <v>209</v>
      </c>
      <c r="CR1229">
        <v>3</v>
      </c>
      <c r="CW1229">
        <v>7306891</v>
      </c>
      <c r="CY1229">
        <v>1</v>
      </c>
      <c r="CZ1229">
        <v>0</v>
      </c>
      <c r="DA1229">
        <v>0</v>
      </c>
      <c r="DB1229">
        <v>0</v>
      </c>
      <c r="DC1229">
        <v>0</v>
      </c>
      <c r="DD1229">
        <v>1</v>
      </c>
      <c r="DE1229">
        <v>0</v>
      </c>
      <c r="DF1229">
        <v>0</v>
      </c>
      <c r="DG1229">
        <v>0</v>
      </c>
      <c r="DH1229">
        <v>0</v>
      </c>
      <c r="DI1229">
        <v>0</v>
      </c>
    </row>
    <row r="1230" spans="1:113" x14ac:dyDescent="0.3">
      <c r="A1230" t="str">
        <f>"09/28/2021 14:00:43.621"</f>
        <v>09/28/2021 14:00:43.621</v>
      </c>
      <c r="C1230" t="str">
        <f t="shared" si="59"/>
        <v>FFDFD3C0</v>
      </c>
      <c r="D1230" t="s">
        <v>120</v>
      </c>
      <c r="E1230">
        <v>12</v>
      </c>
      <c r="F1230">
        <v>1012</v>
      </c>
      <c r="G1230" t="s">
        <v>114</v>
      </c>
      <c r="J1230" t="s">
        <v>121</v>
      </c>
      <c r="K1230">
        <v>0</v>
      </c>
      <c r="L1230">
        <v>3</v>
      </c>
      <c r="M1230">
        <v>0</v>
      </c>
      <c r="N1230">
        <v>2</v>
      </c>
      <c r="O1230">
        <v>1</v>
      </c>
      <c r="P1230">
        <v>0</v>
      </c>
      <c r="Q1230">
        <v>0</v>
      </c>
      <c r="S1230" t="str">
        <f>"14:00:43.391"</f>
        <v>14:00:43.391</v>
      </c>
      <c r="T1230" t="str">
        <f>"14:00:42.991"</f>
        <v>14:00:42.991</v>
      </c>
      <c r="U1230" t="str">
        <f t="shared" si="61"/>
        <v>A92BC1</v>
      </c>
      <c r="V1230">
        <v>0</v>
      </c>
      <c r="W1230">
        <v>0</v>
      </c>
      <c r="X1230">
        <v>2</v>
      </c>
      <c r="Z1230">
        <v>0</v>
      </c>
      <c r="AA1230">
        <v>9</v>
      </c>
      <c r="AB1230">
        <v>3</v>
      </c>
      <c r="AC1230">
        <v>0</v>
      </c>
      <c r="AD1230">
        <v>10</v>
      </c>
      <c r="AE1230">
        <v>0</v>
      </c>
      <c r="AF1230">
        <v>3</v>
      </c>
      <c r="AG1230">
        <v>2</v>
      </c>
      <c r="AH1230">
        <v>0</v>
      </c>
      <c r="AI1230" t="s">
        <v>1329</v>
      </c>
      <c r="AJ1230">
        <v>45.926091999999997</v>
      </c>
      <c r="AK1230" t="s">
        <v>1330</v>
      </c>
      <c r="AL1230">
        <v>-89.029983999999999</v>
      </c>
      <c r="AM1230">
        <v>100</v>
      </c>
      <c r="AN1230">
        <v>14700</v>
      </c>
      <c r="AO1230" t="s">
        <v>118</v>
      </c>
      <c r="AP1230">
        <v>125</v>
      </c>
      <c r="AQ1230">
        <v>-6</v>
      </c>
      <c r="AR1230">
        <v>-5632</v>
      </c>
      <c r="AZ1230">
        <v>1200</v>
      </c>
      <c r="BA1230">
        <v>1</v>
      </c>
      <c r="BB1230" t="str">
        <f t="shared" si="60"/>
        <v xml:space="preserve">N690LS  </v>
      </c>
      <c r="BC1230">
        <v>1</v>
      </c>
      <c r="BE1230">
        <v>0</v>
      </c>
      <c r="BF1230">
        <v>0</v>
      </c>
      <c r="BG1230">
        <v>0</v>
      </c>
      <c r="BH1230">
        <v>15275</v>
      </c>
      <c r="BI1230">
        <v>1</v>
      </c>
      <c r="BJ1230">
        <v>1</v>
      </c>
      <c r="BK1230">
        <v>1</v>
      </c>
      <c r="BL1230">
        <v>0</v>
      </c>
      <c r="BO1230">
        <v>0</v>
      </c>
      <c r="BP1230">
        <v>0</v>
      </c>
      <c r="BW1230" t="str">
        <f>"14:00:43.397"</f>
        <v>14:00:43.397</v>
      </c>
      <c r="CJ1230">
        <v>0</v>
      </c>
      <c r="CK1230">
        <v>2</v>
      </c>
      <c r="CL1230">
        <v>0</v>
      </c>
      <c r="CM1230">
        <v>2</v>
      </c>
      <c r="CN1230">
        <v>0</v>
      </c>
      <c r="CO1230">
        <v>7</v>
      </c>
      <c r="CP1230" t="s">
        <v>119</v>
      </c>
      <c r="CQ1230">
        <v>209</v>
      </c>
      <c r="CR1230">
        <v>3</v>
      </c>
      <c r="CW1230">
        <v>7306891</v>
      </c>
      <c r="CY1230">
        <v>1</v>
      </c>
      <c r="CZ1230">
        <v>0</v>
      </c>
      <c r="DA1230">
        <v>1</v>
      </c>
      <c r="DB1230">
        <v>0</v>
      </c>
      <c r="DC1230">
        <v>0</v>
      </c>
      <c r="DD1230">
        <v>1</v>
      </c>
      <c r="DE1230">
        <v>0</v>
      </c>
      <c r="DF1230">
        <v>0</v>
      </c>
      <c r="DG1230">
        <v>0</v>
      </c>
      <c r="DH1230">
        <v>0</v>
      </c>
      <c r="DI1230">
        <v>0</v>
      </c>
    </row>
    <row r="1231" spans="1:113" x14ac:dyDescent="0.3">
      <c r="A1231" t="str">
        <f>"09/28/2021 14:00:44.560"</f>
        <v>09/28/2021 14:00:44.560</v>
      </c>
      <c r="C1231" t="str">
        <f t="shared" si="59"/>
        <v>FFDFD3C0</v>
      </c>
      <c r="D1231" t="s">
        <v>120</v>
      </c>
      <c r="E1231">
        <v>12</v>
      </c>
      <c r="F1231">
        <v>1012</v>
      </c>
      <c r="G1231" t="s">
        <v>114</v>
      </c>
      <c r="J1231" t="s">
        <v>121</v>
      </c>
      <c r="K1231">
        <v>0</v>
      </c>
      <c r="L1231">
        <v>3</v>
      </c>
      <c r="M1231">
        <v>0</v>
      </c>
      <c r="N1231">
        <v>2</v>
      </c>
      <c r="O1231">
        <v>1</v>
      </c>
      <c r="P1231">
        <v>0</v>
      </c>
      <c r="Q1231">
        <v>0</v>
      </c>
      <c r="S1231" t="str">
        <f>"14:00:44.352"</f>
        <v>14:00:44.352</v>
      </c>
      <c r="T1231" t="str">
        <f>"14:00:43.952"</f>
        <v>14:00:43.952</v>
      </c>
      <c r="U1231" t="str">
        <f t="shared" si="61"/>
        <v>A92BC1</v>
      </c>
      <c r="V1231">
        <v>0</v>
      </c>
      <c r="W1231">
        <v>0</v>
      </c>
      <c r="X1231">
        <v>2</v>
      </c>
      <c r="Z1231">
        <v>0</v>
      </c>
      <c r="AA1231">
        <v>9</v>
      </c>
      <c r="AB1231">
        <v>3</v>
      </c>
      <c r="AC1231">
        <v>0</v>
      </c>
      <c r="AD1231">
        <v>10</v>
      </c>
      <c r="AE1231">
        <v>0</v>
      </c>
      <c r="AF1231">
        <v>3</v>
      </c>
      <c r="AG1231">
        <v>2</v>
      </c>
      <c r="AH1231">
        <v>0</v>
      </c>
      <c r="AI1231" t="s">
        <v>1324</v>
      </c>
      <c r="AJ1231">
        <v>45.926006000000001</v>
      </c>
      <c r="AK1231" t="s">
        <v>1331</v>
      </c>
      <c r="AL1231">
        <v>-89.029190999999997</v>
      </c>
      <c r="AM1231">
        <v>100</v>
      </c>
      <c r="AN1231">
        <v>14600</v>
      </c>
      <c r="AO1231" t="s">
        <v>118</v>
      </c>
      <c r="AP1231">
        <v>128</v>
      </c>
      <c r="AQ1231">
        <v>-24</v>
      </c>
      <c r="AR1231">
        <v>-6400</v>
      </c>
      <c r="AZ1231">
        <v>1200</v>
      </c>
      <c r="BA1231">
        <v>1</v>
      </c>
      <c r="BB1231" t="str">
        <f t="shared" si="60"/>
        <v xml:space="preserve">N690LS  </v>
      </c>
      <c r="BC1231">
        <v>1</v>
      </c>
      <c r="BE1231">
        <v>0</v>
      </c>
      <c r="BF1231">
        <v>0</v>
      </c>
      <c r="BG1231">
        <v>0</v>
      </c>
      <c r="BH1231">
        <v>15175</v>
      </c>
      <c r="BI1231">
        <v>1</v>
      </c>
      <c r="BJ1231">
        <v>1</v>
      </c>
      <c r="BK1231">
        <v>1</v>
      </c>
      <c r="BL1231">
        <v>0</v>
      </c>
      <c r="BO1231">
        <v>0</v>
      </c>
      <c r="BP1231">
        <v>0</v>
      </c>
      <c r="BW1231" t="str">
        <f>"14:00:44.357"</f>
        <v>14:00:44.357</v>
      </c>
      <c r="CJ1231">
        <v>0</v>
      </c>
      <c r="CK1231">
        <v>2</v>
      </c>
      <c r="CL1231">
        <v>0</v>
      </c>
      <c r="CM1231">
        <v>2</v>
      </c>
      <c r="CN1231">
        <v>0</v>
      </c>
      <c r="CO1231">
        <v>5</v>
      </c>
      <c r="CP1231" t="s">
        <v>119</v>
      </c>
      <c r="CQ1231">
        <v>209</v>
      </c>
      <c r="CR1231">
        <v>3</v>
      </c>
      <c r="CW1231">
        <v>7307291</v>
      </c>
      <c r="CY1231">
        <v>1</v>
      </c>
      <c r="CZ1231">
        <v>0</v>
      </c>
      <c r="DA1231">
        <v>0</v>
      </c>
      <c r="DB1231">
        <v>0</v>
      </c>
      <c r="DC1231">
        <v>0</v>
      </c>
      <c r="DD1231">
        <v>1</v>
      </c>
      <c r="DE1231">
        <v>0</v>
      </c>
      <c r="DF1231">
        <v>0</v>
      </c>
      <c r="DG1231">
        <v>0</v>
      </c>
      <c r="DH1231">
        <v>0</v>
      </c>
      <c r="DI1231">
        <v>0</v>
      </c>
    </row>
    <row r="1232" spans="1:113" x14ac:dyDescent="0.3">
      <c r="A1232" t="str">
        <f>"09/28/2021 14:00:44.592"</f>
        <v>09/28/2021 14:00:44.592</v>
      </c>
      <c r="C1232" t="str">
        <f t="shared" si="59"/>
        <v>FFDFD3C0</v>
      </c>
      <c r="D1232" t="s">
        <v>113</v>
      </c>
      <c r="E1232">
        <v>7</v>
      </c>
      <c r="H1232">
        <v>170</v>
      </c>
      <c r="I1232" t="s">
        <v>114</v>
      </c>
      <c r="J1232" t="s">
        <v>115</v>
      </c>
      <c r="K1232">
        <v>0</v>
      </c>
      <c r="L1232">
        <v>3</v>
      </c>
      <c r="M1232">
        <v>0</v>
      </c>
      <c r="N1232">
        <v>2</v>
      </c>
      <c r="O1232">
        <v>1</v>
      </c>
      <c r="P1232">
        <v>0</v>
      </c>
      <c r="Q1232">
        <v>0</v>
      </c>
      <c r="S1232" t="str">
        <f>"14:00:44.352"</f>
        <v>14:00:44.352</v>
      </c>
      <c r="T1232" t="str">
        <f>"14:00:43.952"</f>
        <v>14:00:43.952</v>
      </c>
      <c r="U1232" t="str">
        <f t="shared" si="61"/>
        <v>A92BC1</v>
      </c>
      <c r="V1232">
        <v>0</v>
      </c>
      <c r="W1232">
        <v>0</v>
      </c>
      <c r="X1232">
        <v>2</v>
      </c>
      <c r="Z1232">
        <v>0</v>
      </c>
      <c r="AA1232">
        <v>9</v>
      </c>
      <c r="AB1232">
        <v>3</v>
      </c>
      <c r="AC1232">
        <v>0</v>
      </c>
      <c r="AD1232">
        <v>10</v>
      </c>
      <c r="AE1232">
        <v>0</v>
      </c>
      <c r="AF1232">
        <v>3</v>
      </c>
      <c r="AG1232">
        <v>2</v>
      </c>
      <c r="AH1232">
        <v>0</v>
      </c>
      <c r="AI1232" t="s">
        <v>1324</v>
      </c>
      <c r="AJ1232">
        <v>45.926006000000001</v>
      </c>
      <c r="AK1232" t="s">
        <v>1331</v>
      </c>
      <c r="AL1232">
        <v>-89.029190999999997</v>
      </c>
      <c r="AM1232">
        <v>100</v>
      </c>
      <c r="AN1232">
        <v>14600</v>
      </c>
      <c r="AO1232" t="s">
        <v>118</v>
      </c>
      <c r="AP1232">
        <v>128</v>
      </c>
      <c r="AQ1232">
        <v>-24</v>
      </c>
      <c r="AR1232">
        <v>-6400</v>
      </c>
      <c r="AZ1232">
        <v>1200</v>
      </c>
      <c r="BA1232">
        <v>1</v>
      </c>
      <c r="BB1232" t="str">
        <f t="shared" si="60"/>
        <v xml:space="preserve">N690LS  </v>
      </c>
      <c r="BC1232">
        <v>1</v>
      </c>
      <c r="BE1232">
        <v>0</v>
      </c>
      <c r="BF1232">
        <v>0</v>
      </c>
      <c r="BG1232">
        <v>0</v>
      </c>
      <c r="BH1232">
        <v>15175</v>
      </c>
      <c r="BI1232">
        <v>1</v>
      </c>
      <c r="BJ1232">
        <v>1</v>
      </c>
      <c r="BK1232">
        <v>1</v>
      </c>
      <c r="BL1232">
        <v>0</v>
      </c>
      <c r="BO1232">
        <v>0</v>
      </c>
      <c r="BP1232">
        <v>0</v>
      </c>
      <c r="BW1232" t="str">
        <f>"14:00:44.357"</f>
        <v>14:00:44.357</v>
      </c>
      <c r="CJ1232">
        <v>0</v>
      </c>
      <c r="CK1232">
        <v>2</v>
      </c>
      <c r="CL1232">
        <v>0</v>
      </c>
      <c r="CM1232">
        <v>2</v>
      </c>
      <c r="CN1232">
        <v>0</v>
      </c>
      <c r="CO1232">
        <v>5</v>
      </c>
      <c r="CP1232" t="s">
        <v>119</v>
      </c>
      <c r="CQ1232">
        <v>209</v>
      </c>
      <c r="CR1232">
        <v>3</v>
      </c>
      <c r="CW1232">
        <v>7307291</v>
      </c>
      <c r="CY1232">
        <v>1</v>
      </c>
      <c r="CZ1232">
        <v>0</v>
      </c>
      <c r="DA1232">
        <v>1</v>
      </c>
      <c r="DB1232">
        <v>0</v>
      </c>
      <c r="DC1232">
        <v>0</v>
      </c>
      <c r="DD1232">
        <v>1</v>
      </c>
      <c r="DE1232">
        <v>0</v>
      </c>
      <c r="DF1232">
        <v>0</v>
      </c>
      <c r="DG1232">
        <v>0</v>
      </c>
      <c r="DH1232">
        <v>0</v>
      </c>
      <c r="DI1232">
        <v>0</v>
      </c>
    </row>
    <row r="1233" spans="1:113" x14ac:dyDescent="0.3">
      <c r="A1233" t="str">
        <f>"09/28/2021 14:00:45.560"</f>
        <v>09/28/2021 14:00:45.560</v>
      </c>
      <c r="C1233" t="str">
        <f t="shared" si="59"/>
        <v>FFDFD3C0</v>
      </c>
      <c r="D1233" t="s">
        <v>113</v>
      </c>
      <c r="E1233">
        <v>7</v>
      </c>
      <c r="H1233">
        <v>170</v>
      </c>
      <c r="I1233" t="s">
        <v>114</v>
      </c>
      <c r="J1233" t="s">
        <v>115</v>
      </c>
      <c r="K1233">
        <v>0</v>
      </c>
      <c r="L1233">
        <v>3</v>
      </c>
      <c r="M1233">
        <v>0</v>
      </c>
      <c r="N1233">
        <v>2</v>
      </c>
      <c r="O1233">
        <v>1</v>
      </c>
      <c r="P1233">
        <v>0</v>
      </c>
      <c r="Q1233">
        <v>0</v>
      </c>
      <c r="S1233" t="str">
        <f>"14:00:45.359"</f>
        <v>14:00:45.359</v>
      </c>
      <c r="T1233" t="str">
        <f>"14:00:44.859"</f>
        <v>14:00:44.859</v>
      </c>
      <c r="U1233" t="str">
        <f t="shared" si="61"/>
        <v>A92BC1</v>
      </c>
      <c r="V1233">
        <v>0</v>
      </c>
      <c r="W1233">
        <v>0</v>
      </c>
      <c r="X1233">
        <v>2</v>
      </c>
      <c r="Z1233">
        <v>0</v>
      </c>
      <c r="AA1233">
        <v>9</v>
      </c>
      <c r="AB1233">
        <v>3</v>
      </c>
      <c r="AC1233">
        <v>0</v>
      </c>
      <c r="AD1233">
        <v>10</v>
      </c>
      <c r="AE1233">
        <v>0</v>
      </c>
      <c r="AF1233">
        <v>3</v>
      </c>
      <c r="AG1233">
        <v>2</v>
      </c>
      <c r="AH1233">
        <v>0</v>
      </c>
      <c r="AI1233" t="s">
        <v>1322</v>
      </c>
      <c r="AJ1233">
        <v>45.925877</v>
      </c>
      <c r="AK1233" t="s">
        <v>1332</v>
      </c>
      <c r="AL1233">
        <v>-89.028245999999996</v>
      </c>
      <c r="AM1233">
        <v>100</v>
      </c>
      <c r="AN1233">
        <v>14500</v>
      </c>
      <c r="AO1233" t="s">
        <v>118</v>
      </c>
      <c r="AP1233">
        <v>132</v>
      </c>
      <c r="AQ1233">
        <v>-28</v>
      </c>
      <c r="AR1233">
        <v>-6464</v>
      </c>
      <c r="AZ1233">
        <v>1200</v>
      </c>
      <c r="BA1233">
        <v>1</v>
      </c>
      <c r="BB1233" t="str">
        <f t="shared" si="60"/>
        <v xml:space="preserve">N690LS  </v>
      </c>
      <c r="BC1233">
        <v>1</v>
      </c>
      <c r="BE1233">
        <v>0</v>
      </c>
      <c r="BF1233">
        <v>0</v>
      </c>
      <c r="BG1233">
        <v>0</v>
      </c>
      <c r="BH1233">
        <v>15075</v>
      </c>
      <c r="BI1233">
        <v>1</v>
      </c>
      <c r="BJ1233">
        <v>1</v>
      </c>
      <c r="BK1233">
        <v>1</v>
      </c>
      <c r="BL1233">
        <v>0</v>
      </c>
      <c r="BO1233">
        <v>0</v>
      </c>
      <c r="BP1233">
        <v>0</v>
      </c>
      <c r="BW1233" t="str">
        <f>"14:00:45.360"</f>
        <v>14:00:45.360</v>
      </c>
      <c r="CJ1233">
        <v>0</v>
      </c>
      <c r="CK1233">
        <v>2</v>
      </c>
      <c r="CL1233">
        <v>0</v>
      </c>
      <c r="CM1233">
        <v>2</v>
      </c>
      <c r="CN1233">
        <v>0</v>
      </c>
      <c r="CO1233">
        <v>6</v>
      </c>
      <c r="CP1233" t="s">
        <v>119</v>
      </c>
      <c r="CQ1233">
        <v>197</v>
      </c>
      <c r="CR1233">
        <v>0</v>
      </c>
      <c r="CW1233">
        <v>16119214</v>
      </c>
      <c r="CY1233">
        <v>1</v>
      </c>
      <c r="CZ1233">
        <v>0</v>
      </c>
      <c r="DA1233">
        <v>0</v>
      </c>
      <c r="DB1233">
        <v>0</v>
      </c>
      <c r="DC1233">
        <v>0</v>
      </c>
      <c r="DD1233">
        <v>1</v>
      </c>
      <c r="DE1233">
        <v>0</v>
      </c>
      <c r="DF1233">
        <v>0</v>
      </c>
      <c r="DG1233">
        <v>0</v>
      </c>
      <c r="DH1233">
        <v>0</v>
      </c>
      <c r="DI1233">
        <v>0</v>
      </c>
    </row>
    <row r="1234" spans="1:113" x14ac:dyDescent="0.3">
      <c r="A1234" t="str">
        <f>"09/28/2021 14:00:45.560"</f>
        <v>09/28/2021 14:00:45.560</v>
      </c>
      <c r="C1234" t="str">
        <f t="shared" si="59"/>
        <v>FFDFD3C0</v>
      </c>
      <c r="D1234" t="s">
        <v>120</v>
      </c>
      <c r="E1234">
        <v>12</v>
      </c>
      <c r="F1234">
        <v>1012</v>
      </c>
      <c r="G1234" t="s">
        <v>114</v>
      </c>
      <c r="J1234" t="s">
        <v>121</v>
      </c>
      <c r="K1234">
        <v>0</v>
      </c>
      <c r="L1234">
        <v>3</v>
      </c>
      <c r="M1234">
        <v>0</v>
      </c>
      <c r="N1234">
        <v>2</v>
      </c>
      <c r="O1234">
        <v>1</v>
      </c>
      <c r="P1234">
        <v>0</v>
      </c>
      <c r="Q1234">
        <v>0</v>
      </c>
      <c r="S1234" t="str">
        <f>"14:00:45.359"</f>
        <v>14:00:45.359</v>
      </c>
      <c r="T1234" t="str">
        <f>"14:00:44.859"</f>
        <v>14:00:44.859</v>
      </c>
      <c r="U1234" t="str">
        <f t="shared" si="61"/>
        <v>A92BC1</v>
      </c>
      <c r="V1234">
        <v>0</v>
      </c>
      <c r="W1234">
        <v>0</v>
      </c>
      <c r="X1234">
        <v>2</v>
      </c>
      <c r="Z1234">
        <v>0</v>
      </c>
      <c r="AA1234">
        <v>9</v>
      </c>
      <c r="AB1234">
        <v>3</v>
      </c>
      <c r="AC1234">
        <v>0</v>
      </c>
      <c r="AD1234">
        <v>10</v>
      </c>
      <c r="AE1234">
        <v>0</v>
      </c>
      <c r="AF1234">
        <v>3</v>
      </c>
      <c r="AG1234">
        <v>2</v>
      </c>
      <c r="AH1234">
        <v>0</v>
      </c>
      <c r="AI1234" t="s">
        <v>1322</v>
      </c>
      <c r="AJ1234">
        <v>45.925877</v>
      </c>
      <c r="AK1234" t="s">
        <v>1332</v>
      </c>
      <c r="AL1234">
        <v>-89.028245999999996</v>
      </c>
      <c r="AM1234">
        <v>100</v>
      </c>
      <c r="AN1234">
        <v>14500</v>
      </c>
      <c r="AO1234" t="s">
        <v>118</v>
      </c>
      <c r="AP1234">
        <v>132</v>
      </c>
      <c r="AQ1234">
        <v>-28</v>
      </c>
      <c r="AR1234">
        <v>-6464</v>
      </c>
      <c r="AZ1234">
        <v>1200</v>
      </c>
      <c r="BA1234">
        <v>1</v>
      </c>
      <c r="BB1234" t="str">
        <f t="shared" si="60"/>
        <v xml:space="preserve">N690LS  </v>
      </c>
      <c r="BC1234">
        <v>1</v>
      </c>
      <c r="BE1234">
        <v>0</v>
      </c>
      <c r="BF1234">
        <v>0</v>
      </c>
      <c r="BG1234">
        <v>0</v>
      </c>
      <c r="BH1234">
        <v>15075</v>
      </c>
      <c r="BI1234">
        <v>1</v>
      </c>
      <c r="BJ1234">
        <v>1</v>
      </c>
      <c r="BK1234">
        <v>1</v>
      </c>
      <c r="BL1234">
        <v>0</v>
      </c>
      <c r="BO1234">
        <v>0</v>
      </c>
      <c r="BP1234">
        <v>0</v>
      </c>
      <c r="BW1234" t="str">
        <f>"14:00:45.360"</f>
        <v>14:00:45.360</v>
      </c>
      <c r="CJ1234">
        <v>0</v>
      </c>
      <c r="CK1234">
        <v>2</v>
      </c>
      <c r="CL1234">
        <v>0</v>
      </c>
      <c r="CM1234">
        <v>2</v>
      </c>
      <c r="CN1234">
        <v>0</v>
      </c>
      <c r="CO1234">
        <v>6</v>
      </c>
      <c r="CP1234" t="s">
        <v>119</v>
      </c>
      <c r="CQ1234">
        <v>197</v>
      </c>
      <c r="CR1234">
        <v>0</v>
      </c>
      <c r="CW1234">
        <v>16119214</v>
      </c>
      <c r="CY1234">
        <v>1</v>
      </c>
      <c r="CZ1234">
        <v>0</v>
      </c>
      <c r="DA1234">
        <v>1</v>
      </c>
      <c r="DB1234">
        <v>0</v>
      </c>
      <c r="DC1234">
        <v>0</v>
      </c>
      <c r="DD1234">
        <v>1</v>
      </c>
      <c r="DE1234">
        <v>0</v>
      </c>
      <c r="DF1234">
        <v>0</v>
      </c>
      <c r="DG1234">
        <v>0</v>
      </c>
      <c r="DH1234">
        <v>0</v>
      </c>
      <c r="DI1234">
        <v>0</v>
      </c>
    </row>
    <row r="1235" spans="1:113" x14ac:dyDescent="0.3">
      <c r="A1235" t="str">
        <f>"09/28/2021 14:00:46.420"</f>
        <v>09/28/2021 14:00:46.420</v>
      </c>
      <c r="C1235" t="str">
        <f t="shared" si="59"/>
        <v>FFDFD3C0</v>
      </c>
      <c r="D1235" t="s">
        <v>120</v>
      </c>
      <c r="E1235">
        <v>12</v>
      </c>
      <c r="F1235">
        <v>1012</v>
      </c>
      <c r="G1235" t="s">
        <v>114</v>
      </c>
      <c r="J1235" t="s">
        <v>121</v>
      </c>
      <c r="K1235">
        <v>0</v>
      </c>
      <c r="L1235">
        <v>3</v>
      </c>
      <c r="M1235">
        <v>0</v>
      </c>
      <c r="N1235">
        <v>2</v>
      </c>
      <c r="O1235">
        <v>1</v>
      </c>
      <c r="P1235">
        <v>0</v>
      </c>
      <c r="Q1235">
        <v>0</v>
      </c>
      <c r="S1235" t="str">
        <f>"14:00:46.258"</f>
        <v>14:00:46.258</v>
      </c>
      <c r="T1235" t="str">
        <f>"14:00:45.858"</f>
        <v>14:00:45.858</v>
      </c>
      <c r="U1235" t="str">
        <f t="shared" si="61"/>
        <v>A92BC1</v>
      </c>
      <c r="V1235">
        <v>0</v>
      </c>
      <c r="W1235">
        <v>0</v>
      </c>
      <c r="X1235">
        <v>2</v>
      </c>
      <c r="Z1235">
        <v>0</v>
      </c>
      <c r="AA1235">
        <v>9</v>
      </c>
      <c r="AB1235">
        <v>3</v>
      </c>
      <c r="AC1235">
        <v>0</v>
      </c>
      <c r="AD1235">
        <v>10</v>
      </c>
      <c r="AE1235">
        <v>0</v>
      </c>
      <c r="AF1235">
        <v>3</v>
      </c>
      <c r="AG1235">
        <v>2</v>
      </c>
      <c r="AH1235">
        <v>0</v>
      </c>
      <c r="AI1235" t="s">
        <v>1333</v>
      </c>
      <c r="AJ1235">
        <v>45.925834000000002</v>
      </c>
      <c r="AK1235" t="s">
        <v>1334</v>
      </c>
      <c r="AL1235">
        <v>-89.027495000000002</v>
      </c>
      <c r="AM1235">
        <v>100</v>
      </c>
      <c r="AN1235">
        <v>14400</v>
      </c>
      <c r="AO1235" t="s">
        <v>118</v>
      </c>
      <c r="AP1235">
        <v>131</v>
      </c>
      <c r="AQ1235">
        <v>-11</v>
      </c>
      <c r="AR1235">
        <v>-7232</v>
      </c>
      <c r="AZ1235">
        <v>1200</v>
      </c>
      <c r="BA1235">
        <v>1</v>
      </c>
      <c r="BB1235" t="str">
        <f t="shared" si="60"/>
        <v xml:space="preserve">N690LS  </v>
      </c>
      <c r="BC1235">
        <v>1</v>
      </c>
      <c r="BE1235">
        <v>0</v>
      </c>
      <c r="BF1235">
        <v>0</v>
      </c>
      <c r="BG1235">
        <v>0</v>
      </c>
      <c r="BH1235">
        <v>14950</v>
      </c>
      <c r="BI1235">
        <v>1</v>
      </c>
      <c r="BJ1235">
        <v>1</v>
      </c>
      <c r="BK1235">
        <v>1</v>
      </c>
      <c r="BL1235">
        <v>0</v>
      </c>
      <c r="BO1235">
        <v>0</v>
      </c>
      <c r="BP1235">
        <v>0</v>
      </c>
      <c r="BW1235" t="str">
        <f>"14:00:46.261"</f>
        <v>14:00:46.261</v>
      </c>
      <c r="CJ1235">
        <v>0</v>
      </c>
      <c r="CK1235">
        <v>2</v>
      </c>
      <c r="CL1235">
        <v>0</v>
      </c>
      <c r="CM1235">
        <v>2</v>
      </c>
      <c r="CN1235">
        <v>0</v>
      </c>
      <c r="CO1235">
        <v>6</v>
      </c>
      <c r="CP1235" t="s">
        <v>119</v>
      </c>
      <c r="CQ1235">
        <v>209</v>
      </c>
      <c r="CR1235">
        <v>3</v>
      </c>
      <c r="CW1235">
        <v>7308093</v>
      </c>
      <c r="CY1235">
        <v>1</v>
      </c>
      <c r="CZ1235">
        <v>0</v>
      </c>
      <c r="DA1235">
        <v>0</v>
      </c>
      <c r="DB1235">
        <v>0</v>
      </c>
      <c r="DC1235">
        <v>0</v>
      </c>
      <c r="DD1235">
        <v>1</v>
      </c>
      <c r="DE1235">
        <v>0</v>
      </c>
      <c r="DF1235">
        <v>0</v>
      </c>
      <c r="DG1235">
        <v>0</v>
      </c>
      <c r="DH1235">
        <v>0</v>
      </c>
      <c r="DI1235">
        <v>0</v>
      </c>
    </row>
    <row r="1236" spans="1:113" x14ac:dyDescent="0.3">
      <c r="A1236" t="str">
        <f>"09/28/2021 14:00:46.451"</f>
        <v>09/28/2021 14:00:46.451</v>
      </c>
      <c r="C1236" t="str">
        <f t="shared" si="59"/>
        <v>FFDFD3C0</v>
      </c>
      <c r="D1236" t="s">
        <v>113</v>
      </c>
      <c r="E1236">
        <v>7</v>
      </c>
      <c r="H1236">
        <v>170</v>
      </c>
      <c r="I1236" t="s">
        <v>114</v>
      </c>
      <c r="J1236" t="s">
        <v>115</v>
      </c>
      <c r="K1236">
        <v>0</v>
      </c>
      <c r="L1236">
        <v>3</v>
      </c>
      <c r="M1236">
        <v>0</v>
      </c>
      <c r="N1236">
        <v>2</v>
      </c>
      <c r="O1236">
        <v>1</v>
      </c>
      <c r="P1236">
        <v>0</v>
      </c>
      <c r="Q1236">
        <v>0</v>
      </c>
      <c r="S1236" t="str">
        <f>"14:00:46.258"</f>
        <v>14:00:46.258</v>
      </c>
      <c r="T1236" t="str">
        <f>"14:00:45.858"</f>
        <v>14:00:45.858</v>
      </c>
      <c r="U1236" t="str">
        <f t="shared" si="61"/>
        <v>A92BC1</v>
      </c>
      <c r="V1236">
        <v>0</v>
      </c>
      <c r="W1236">
        <v>0</v>
      </c>
      <c r="X1236">
        <v>2</v>
      </c>
      <c r="Z1236">
        <v>0</v>
      </c>
      <c r="AA1236">
        <v>9</v>
      </c>
      <c r="AB1236">
        <v>3</v>
      </c>
      <c r="AC1236">
        <v>0</v>
      </c>
      <c r="AD1236">
        <v>10</v>
      </c>
      <c r="AE1236">
        <v>0</v>
      </c>
      <c r="AF1236">
        <v>3</v>
      </c>
      <c r="AG1236">
        <v>2</v>
      </c>
      <c r="AH1236">
        <v>0</v>
      </c>
      <c r="AI1236" t="s">
        <v>1333</v>
      </c>
      <c r="AJ1236">
        <v>45.925834000000002</v>
      </c>
      <c r="AK1236" t="s">
        <v>1334</v>
      </c>
      <c r="AL1236">
        <v>-89.027495000000002</v>
      </c>
      <c r="AM1236">
        <v>100</v>
      </c>
      <c r="AN1236">
        <v>14400</v>
      </c>
      <c r="AO1236" t="s">
        <v>118</v>
      </c>
      <c r="AP1236">
        <v>131</v>
      </c>
      <c r="AQ1236">
        <v>-11</v>
      </c>
      <c r="AR1236">
        <v>-7232</v>
      </c>
      <c r="AZ1236">
        <v>1200</v>
      </c>
      <c r="BA1236">
        <v>1</v>
      </c>
      <c r="BB1236" t="str">
        <f t="shared" si="60"/>
        <v xml:space="preserve">N690LS  </v>
      </c>
      <c r="BC1236">
        <v>1</v>
      </c>
      <c r="BE1236">
        <v>0</v>
      </c>
      <c r="BF1236">
        <v>0</v>
      </c>
      <c r="BG1236">
        <v>0</v>
      </c>
      <c r="BH1236">
        <v>14950</v>
      </c>
      <c r="BI1236">
        <v>1</v>
      </c>
      <c r="BJ1236">
        <v>1</v>
      </c>
      <c r="BK1236">
        <v>1</v>
      </c>
      <c r="BL1236">
        <v>0</v>
      </c>
      <c r="BO1236">
        <v>0</v>
      </c>
      <c r="BP1236">
        <v>0</v>
      </c>
      <c r="BW1236" t="str">
        <f>"14:00:46.261"</f>
        <v>14:00:46.261</v>
      </c>
      <c r="CJ1236">
        <v>0</v>
      </c>
      <c r="CK1236">
        <v>2</v>
      </c>
      <c r="CL1236">
        <v>0</v>
      </c>
      <c r="CM1236">
        <v>2</v>
      </c>
      <c r="CN1236">
        <v>0</v>
      </c>
      <c r="CO1236">
        <v>6</v>
      </c>
      <c r="CP1236" t="s">
        <v>119</v>
      </c>
      <c r="CQ1236">
        <v>209</v>
      </c>
      <c r="CR1236">
        <v>3</v>
      </c>
      <c r="CW1236">
        <v>7308093</v>
      </c>
      <c r="CY1236">
        <v>1</v>
      </c>
      <c r="CZ1236">
        <v>0</v>
      </c>
      <c r="DA1236">
        <v>1</v>
      </c>
      <c r="DB1236">
        <v>0</v>
      </c>
      <c r="DC1236">
        <v>0</v>
      </c>
      <c r="DD1236">
        <v>1</v>
      </c>
      <c r="DE1236">
        <v>0</v>
      </c>
      <c r="DF1236">
        <v>0</v>
      </c>
      <c r="DG1236">
        <v>0</v>
      </c>
      <c r="DH1236">
        <v>0</v>
      </c>
      <c r="DI1236">
        <v>0</v>
      </c>
    </row>
    <row r="1237" spans="1:113" x14ac:dyDescent="0.3">
      <c r="A1237" t="str">
        <f>"09/28/2021 14:00:47.353"</f>
        <v>09/28/2021 14:00:47.353</v>
      </c>
      <c r="C1237" t="str">
        <f t="shared" si="59"/>
        <v>FFDFD3C0</v>
      </c>
      <c r="D1237" t="s">
        <v>120</v>
      </c>
      <c r="E1237">
        <v>12</v>
      </c>
      <c r="F1237">
        <v>1012</v>
      </c>
      <c r="G1237" t="s">
        <v>114</v>
      </c>
      <c r="J1237" t="s">
        <v>121</v>
      </c>
      <c r="K1237">
        <v>0</v>
      </c>
      <c r="L1237">
        <v>3</v>
      </c>
      <c r="M1237">
        <v>0</v>
      </c>
      <c r="N1237">
        <v>2</v>
      </c>
      <c r="O1237">
        <v>1</v>
      </c>
      <c r="P1237">
        <v>0</v>
      </c>
      <c r="Q1237">
        <v>0</v>
      </c>
      <c r="S1237" t="str">
        <f>"14:00:47.117"</f>
        <v>14:00:47.117</v>
      </c>
      <c r="T1237" t="str">
        <f>"14:00:46.717"</f>
        <v>14:00:46.717</v>
      </c>
      <c r="U1237" t="str">
        <f t="shared" si="61"/>
        <v>A92BC1</v>
      </c>
      <c r="V1237">
        <v>0</v>
      </c>
      <c r="W1237">
        <v>0</v>
      </c>
      <c r="X1237">
        <v>2</v>
      </c>
      <c r="Z1237">
        <v>0</v>
      </c>
      <c r="AA1237">
        <v>0</v>
      </c>
      <c r="AB1237">
        <v>3</v>
      </c>
      <c r="AC1237">
        <v>0</v>
      </c>
      <c r="AD1237">
        <v>10</v>
      </c>
      <c r="AE1237">
        <v>0</v>
      </c>
      <c r="AF1237">
        <v>3</v>
      </c>
      <c r="AG1237">
        <v>2</v>
      </c>
      <c r="AH1237">
        <v>0</v>
      </c>
      <c r="AI1237" t="s">
        <v>1322</v>
      </c>
      <c r="AJ1237">
        <v>45.925877</v>
      </c>
      <c r="AK1237" t="s">
        <v>1335</v>
      </c>
      <c r="AL1237">
        <v>-89.026894999999996</v>
      </c>
      <c r="AM1237">
        <v>100</v>
      </c>
      <c r="AN1237">
        <v>14300</v>
      </c>
      <c r="AO1237" t="s">
        <v>118</v>
      </c>
      <c r="AP1237">
        <v>121</v>
      </c>
      <c r="AQ1237">
        <v>1</v>
      </c>
      <c r="AR1237">
        <v>-9280</v>
      </c>
      <c r="AZ1237">
        <v>1200</v>
      </c>
      <c r="BA1237">
        <v>1</v>
      </c>
      <c r="BB1237" t="str">
        <f t="shared" si="60"/>
        <v xml:space="preserve">N690LS  </v>
      </c>
      <c r="BC1237">
        <v>1</v>
      </c>
      <c r="BE1237">
        <v>0</v>
      </c>
      <c r="BF1237">
        <v>0</v>
      </c>
      <c r="BG1237">
        <v>0</v>
      </c>
      <c r="BH1237">
        <v>14825</v>
      </c>
      <c r="BI1237">
        <v>1</v>
      </c>
      <c r="BJ1237">
        <v>1</v>
      </c>
      <c r="BK1237">
        <v>1</v>
      </c>
      <c r="BL1237">
        <v>0</v>
      </c>
      <c r="BO1237">
        <v>0</v>
      </c>
      <c r="BP1237">
        <v>0</v>
      </c>
      <c r="BW1237" t="str">
        <f>"14:00:47.123"</f>
        <v>14:00:47.123</v>
      </c>
      <c r="CJ1237">
        <v>0</v>
      </c>
      <c r="CK1237">
        <v>2</v>
      </c>
      <c r="CL1237">
        <v>0</v>
      </c>
      <c r="CM1237">
        <v>2</v>
      </c>
      <c r="CN1237">
        <v>0</v>
      </c>
      <c r="CO1237">
        <v>7</v>
      </c>
      <c r="CP1237" t="s">
        <v>119</v>
      </c>
      <c r="CQ1237">
        <v>209</v>
      </c>
      <c r="CR1237">
        <v>3</v>
      </c>
      <c r="CW1237">
        <v>7308417</v>
      </c>
      <c r="CY1237">
        <v>1</v>
      </c>
      <c r="CZ1237">
        <v>0</v>
      </c>
      <c r="DA1237">
        <v>0</v>
      </c>
      <c r="DB1237">
        <v>0</v>
      </c>
      <c r="DC1237">
        <v>0</v>
      </c>
      <c r="DD1237">
        <v>1</v>
      </c>
      <c r="DE1237">
        <v>1</v>
      </c>
      <c r="DF1237">
        <v>0</v>
      </c>
      <c r="DG1237">
        <v>1</v>
      </c>
      <c r="DH1237">
        <v>0</v>
      </c>
      <c r="DI1237">
        <v>0</v>
      </c>
    </row>
    <row r="1238" spans="1:113" x14ac:dyDescent="0.3">
      <c r="A1238" t="str">
        <f>"09/28/2021 14:00:47.353"</f>
        <v>09/28/2021 14:00:47.353</v>
      </c>
      <c r="C1238" t="str">
        <f t="shared" si="59"/>
        <v>FFDFD3C0</v>
      </c>
      <c r="D1238" t="s">
        <v>113</v>
      </c>
      <c r="E1238">
        <v>7</v>
      </c>
      <c r="H1238">
        <v>170</v>
      </c>
      <c r="I1238" t="s">
        <v>114</v>
      </c>
      <c r="J1238" t="s">
        <v>115</v>
      </c>
      <c r="K1238">
        <v>0</v>
      </c>
      <c r="L1238">
        <v>3</v>
      </c>
      <c r="M1238">
        <v>0</v>
      </c>
      <c r="N1238">
        <v>2</v>
      </c>
      <c r="O1238">
        <v>1</v>
      </c>
      <c r="P1238">
        <v>0</v>
      </c>
      <c r="Q1238">
        <v>0</v>
      </c>
      <c r="S1238" t="str">
        <f>"14:00:47.117"</f>
        <v>14:00:47.117</v>
      </c>
      <c r="T1238" t="str">
        <f>"14:00:46.717"</f>
        <v>14:00:46.717</v>
      </c>
      <c r="U1238" t="str">
        <f t="shared" si="61"/>
        <v>A92BC1</v>
      </c>
      <c r="V1238">
        <v>0</v>
      </c>
      <c r="W1238">
        <v>0</v>
      </c>
      <c r="X1238">
        <v>2</v>
      </c>
      <c r="Z1238">
        <v>0</v>
      </c>
      <c r="AA1238">
        <v>0</v>
      </c>
      <c r="AB1238">
        <v>3</v>
      </c>
      <c r="AC1238">
        <v>0</v>
      </c>
      <c r="AD1238">
        <v>10</v>
      </c>
      <c r="AE1238">
        <v>0</v>
      </c>
      <c r="AF1238">
        <v>3</v>
      </c>
      <c r="AG1238">
        <v>2</v>
      </c>
      <c r="AH1238">
        <v>0</v>
      </c>
      <c r="AI1238" t="s">
        <v>1322</v>
      </c>
      <c r="AJ1238">
        <v>45.925877</v>
      </c>
      <c r="AK1238" t="s">
        <v>1335</v>
      </c>
      <c r="AL1238">
        <v>-89.026894999999996</v>
      </c>
      <c r="AM1238">
        <v>100</v>
      </c>
      <c r="AN1238">
        <v>14300</v>
      </c>
      <c r="AO1238" t="s">
        <v>118</v>
      </c>
      <c r="AP1238">
        <v>121</v>
      </c>
      <c r="AQ1238">
        <v>1</v>
      </c>
      <c r="AR1238">
        <v>-9280</v>
      </c>
      <c r="AZ1238">
        <v>1200</v>
      </c>
      <c r="BA1238">
        <v>1</v>
      </c>
      <c r="BB1238" t="str">
        <f t="shared" si="60"/>
        <v xml:space="preserve">N690LS  </v>
      </c>
      <c r="BC1238">
        <v>1</v>
      </c>
      <c r="BE1238">
        <v>0</v>
      </c>
      <c r="BF1238">
        <v>0</v>
      </c>
      <c r="BG1238">
        <v>0</v>
      </c>
      <c r="BH1238">
        <v>14825</v>
      </c>
      <c r="BI1238">
        <v>1</v>
      </c>
      <c r="BJ1238">
        <v>1</v>
      </c>
      <c r="BK1238">
        <v>1</v>
      </c>
      <c r="BL1238">
        <v>0</v>
      </c>
      <c r="BO1238">
        <v>0</v>
      </c>
      <c r="BP1238">
        <v>0</v>
      </c>
      <c r="BW1238" t="str">
        <f>"14:00:47.123"</f>
        <v>14:00:47.123</v>
      </c>
      <c r="CJ1238">
        <v>0</v>
      </c>
      <c r="CK1238">
        <v>2</v>
      </c>
      <c r="CL1238">
        <v>0</v>
      </c>
      <c r="CM1238">
        <v>2</v>
      </c>
      <c r="CN1238">
        <v>0</v>
      </c>
      <c r="CO1238">
        <v>7</v>
      </c>
      <c r="CP1238" t="s">
        <v>119</v>
      </c>
      <c r="CQ1238">
        <v>209</v>
      </c>
      <c r="CR1238">
        <v>3</v>
      </c>
      <c r="CW1238">
        <v>7308417</v>
      </c>
      <c r="CY1238">
        <v>1</v>
      </c>
      <c r="CZ1238">
        <v>0</v>
      </c>
      <c r="DA1238">
        <v>1</v>
      </c>
      <c r="DB1238">
        <v>0</v>
      </c>
      <c r="DC1238">
        <v>0</v>
      </c>
      <c r="DD1238">
        <v>1</v>
      </c>
      <c r="DE1238">
        <v>1</v>
      </c>
      <c r="DF1238">
        <v>0</v>
      </c>
      <c r="DG1238">
        <v>1</v>
      </c>
      <c r="DH1238">
        <v>0</v>
      </c>
      <c r="DI1238">
        <v>0</v>
      </c>
    </row>
    <row r="1239" spans="1:113" x14ac:dyDescent="0.3">
      <c r="A1239" t="str">
        <f>"09/28/2021 14:00:48.353"</f>
        <v>09/28/2021 14:00:48.353</v>
      </c>
      <c r="C1239" t="str">
        <f t="shared" si="59"/>
        <v>FFDFD3C0</v>
      </c>
      <c r="D1239" t="s">
        <v>120</v>
      </c>
      <c r="E1239">
        <v>12</v>
      </c>
      <c r="F1239">
        <v>1012</v>
      </c>
      <c r="G1239" t="s">
        <v>114</v>
      </c>
      <c r="J1239" t="s">
        <v>121</v>
      </c>
      <c r="K1239">
        <v>0</v>
      </c>
      <c r="L1239">
        <v>3</v>
      </c>
      <c r="M1239">
        <v>0</v>
      </c>
      <c r="N1239">
        <v>2</v>
      </c>
      <c r="O1239">
        <v>1</v>
      </c>
      <c r="P1239">
        <v>0</v>
      </c>
      <c r="Q1239">
        <v>0</v>
      </c>
      <c r="S1239" t="str">
        <f>"14:00:48.133"</f>
        <v>14:00:48.133</v>
      </c>
      <c r="T1239" t="str">
        <f>"14:00:47.633"</f>
        <v>14:00:47.633</v>
      </c>
      <c r="U1239" t="str">
        <f t="shared" si="61"/>
        <v>A92BC1</v>
      </c>
      <c r="V1239">
        <v>0</v>
      </c>
      <c r="W1239">
        <v>0</v>
      </c>
      <c r="X1239">
        <v>2</v>
      </c>
      <c r="Z1239">
        <v>0</v>
      </c>
      <c r="AA1239">
        <v>8</v>
      </c>
      <c r="AB1239">
        <v>3</v>
      </c>
      <c r="AC1239">
        <v>0</v>
      </c>
      <c r="AD1239">
        <v>9</v>
      </c>
      <c r="AE1239">
        <v>0</v>
      </c>
      <c r="AF1239">
        <v>3</v>
      </c>
      <c r="AG1239">
        <v>2</v>
      </c>
      <c r="AH1239">
        <v>0</v>
      </c>
      <c r="AI1239" t="s">
        <v>1333</v>
      </c>
      <c r="AJ1239">
        <v>45.925834000000002</v>
      </c>
      <c r="AK1239" t="s">
        <v>1336</v>
      </c>
      <c r="AL1239">
        <v>-89.026165000000006</v>
      </c>
      <c r="AM1239">
        <v>100</v>
      </c>
      <c r="AN1239">
        <v>14100</v>
      </c>
      <c r="AO1239" t="s">
        <v>118</v>
      </c>
      <c r="AP1239">
        <v>108</v>
      </c>
      <c r="AQ1239">
        <v>2</v>
      </c>
      <c r="AR1239">
        <v>-11392</v>
      </c>
      <c r="AZ1239">
        <v>1200</v>
      </c>
      <c r="BA1239">
        <v>1</v>
      </c>
      <c r="BB1239" t="str">
        <f t="shared" si="60"/>
        <v xml:space="preserve">N690LS  </v>
      </c>
      <c r="BC1239">
        <v>1</v>
      </c>
      <c r="BE1239">
        <v>0</v>
      </c>
      <c r="BF1239">
        <v>0</v>
      </c>
      <c r="BG1239">
        <v>0</v>
      </c>
      <c r="BH1239">
        <v>14675</v>
      </c>
      <c r="BI1239">
        <v>1</v>
      </c>
      <c r="BJ1239">
        <v>1</v>
      </c>
      <c r="BK1239">
        <v>1</v>
      </c>
      <c r="BL1239">
        <v>0</v>
      </c>
      <c r="BO1239">
        <v>0</v>
      </c>
      <c r="BP1239">
        <v>0</v>
      </c>
      <c r="BW1239" t="str">
        <f>"14:00:48.134"</f>
        <v>14:00:48.134</v>
      </c>
      <c r="CJ1239">
        <v>0</v>
      </c>
      <c r="CK1239">
        <v>2</v>
      </c>
      <c r="CL1239">
        <v>0</v>
      </c>
      <c r="CM1239">
        <v>2</v>
      </c>
      <c r="CN1239">
        <v>0</v>
      </c>
      <c r="CO1239">
        <v>6</v>
      </c>
      <c r="CP1239" t="s">
        <v>119</v>
      </c>
      <c r="CQ1239">
        <v>209</v>
      </c>
      <c r="CR1239">
        <v>3</v>
      </c>
      <c r="CW1239">
        <v>7308786</v>
      </c>
      <c r="CY1239">
        <v>1</v>
      </c>
      <c r="CZ1239">
        <v>0</v>
      </c>
      <c r="DA1239">
        <v>0</v>
      </c>
      <c r="DB1239">
        <v>0</v>
      </c>
      <c r="DC1239">
        <v>0</v>
      </c>
      <c r="DD1239">
        <v>1</v>
      </c>
      <c r="DE1239">
        <v>0</v>
      </c>
      <c r="DF1239">
        <v>0</v>
      </c>
      <c r="DG1239">
        <v>0</v>
      </c>
      <c r="DH1239">
        <v>0</v>
      </c>
      <c r="DI1239">
        <v>0</v>
      </c>
    </row>
    <row r="1240" spans="1:113" x14ac:dyDescent="0.3">
      <c r="A1240" t="str">
        <f>"09/28/2021 14:00:48.400"</f>
        <v>09/28/2021 14:00:48.400</v>
      </c>
      <c r="C1240" t="str">
        <f t="shared" si="59"/>
        <v>FFDFD3C0</v>
      </c>
      <c r="D1240" t="s">
        <v>113</v>
      </c>
      <c r="E1240">
        <v>7</v>
      </c>
      <c r="H1240">
        <v>170</v>
      </c>
      <c r="I1240" t="s">
        <v>114</v>
      </c>
      <c r="J1240" t="s">
        <v>115</v>
      </c>
      <c r="K1240">
        <v>0</v>
      </c>
      <c r="L1240">
        <v>3</v>
      </c>
      <c r="M1240">
        <v>0</v>
      </c>
      <c r="N1240">
        <v>2</v>
      </c>
      <c r="O1240">
        <v>1</v>
      </c>
      <c r="P1240">
        <v>0</v>
      </c>
      <c r="Q1240">
        <v>0</v>
      </c>
      <c r="S1240" t="str">
        <f>"14:00:48.133"</f>
        <v>14:00:48.133</v>
      </c>
      <c r="T1240" t="str">
        <f>"14:00:47.633"</f>
        <v>14:00:47.633</v>
      </c>
      <c r="U1240" t="str">
        <f t="shared" si="61"/>
        <v>A92BC1</v>
      </c>
      <c r="V1240">
        <v>0</v>
      </c>
      <c r="W1240">
        <v>0</v>
      </c>
      <c r="X1240">
        <v>2</v>
      </c>
      <c r="Z1240">
        <v>0</v>
      </c>
      <c r="AA1240">
        <v>8</v>
      </c>
      <c r="AB1240">
        <v>3</v>
      </c>
      <c r="AC1240">
        <v>0</v>
      </c>
      <c r="AD1240">
        <v>9</v>
      </c>
      <c r="AE1240">
        <v>0</v>
      </c>
      <c r="AF1240">
        <v>3</v>
      </c>
      <c r="AG1240">
        <v>2</v>
      </c>
      <c r="AH1240">
        <v>0</v>
      </c>
      <c r="AI1240" t="s">
        <v>1333</v>
      </c>
      <c r="AJ1240">
        <v>45.925834000000002</v>
      </c>
      <c r="AK1240" t="s">
        <v>1336</v>
      </c>
      <c r="AL1240">
        <v>-89.026165000000006</v>
      </c>
      <c r="AM1240">
        <v>100</v>
      </c>
      <c r="AN1240">
        <v>14100</v>
      </c>
      <c r="AO1240" t="s">
        <v>118</v>
      </c>
      <c r="AP1240">
        <v>108</v>
      </c>
      <c r="AQ1240">
        <v>2</v>
      </c>
      <c r="AR1240">
        <v>-11392</v>
      </c>
      <c r="AZ1240">
        <v>1200</v>
      </c>
      <c r="BA1240">
        <v>1</v>
      </c>
      <c r="BB1240" t="str">
        <f t="shared" si="60"/>
        <v xml:space="preserve">N690LS  </v>
      </c>
      <c r="BC1240">
        <v>1</v>
      </c>
      <c r="BE1240">
        <v>0</v>
      </c>
      <c r="BF1240">
        <v>0</v>
      </c>
      <c r="BG1240">
        <v>0</v>
      </c>
      <c r="BH1240">
        <v>14675</v>
      </c>
      <c r="BI1240">
        <v>1</v>
      </c>
      <c r="BJ1240">
        <v>1</v>
      </c>
      <c r="BK1240">
        <v>1</v>
      </c>
      <c r="BL1240">
        <v>0</v>
      </c>
      <c r="BO1240">
        <v>0</v>
      </c>
      <c r="BP1240">
        <v>0</v>
      </c>
      <c r="BW1240" t="str">
        <f>"14:00:48.134"</f>
        <v>14:00:48.134</v>
      </c>
      <c r="CJ1240">
        <v>0</v>
      </c>
      <c r="CK1240">
        <v>2</v>
      </c>
      <c r="CL1240">
        <v>0</v>
      </c>
      <c r="CM1240">
        <v>2</v>
      </c>
      <c r="CN1240">
        <v>0</v>
      </c>
      <c r="CO1240">
        <v>6</v>
      </c>
      <c r="CP1240" t="s">
        <v>119</v>
      </c>
      <c r="CQ1240">
        <v>209</v>
      </c>
      <c r="CR1240">
        <v>3</v>
      </c>
      <c r="CW1240">
        <v>7308786</v>
      </c>
      <c r="CY1240">
        <v>1</v>
      </c>
      <c r="CZ1240">
        <v>0</v>
      </c>
      <c r="DA1240">
        <v>1</v>
      </c>
      <c r="DB1240">
        <v>0</v>
      </c>
      <c r="DC1240">
        <v>0</v>
      </c>
      <c r="DD1240">
        <v>1</v>
      </c>
      <c r="DE1240">
        <v>0</v>
      </c>
      <c r="DF1240">
        <v>0</v>
      </c>
      <c r="DG1240">
        <v>0</v>
      </c>
      <c r="DH1240">
        <v>0</v>
      </c>
      <c r="DI1240">
        <v>0</v>
      </c>
    </row>
    <row r="1241" spans="1:113" x14ac:dyDescent="0.3">
      <c r="A1241" t="str">
        <f>"09/28/2021 14:00:49.448"</f>
        <v>09/28/2021 14:00:49.448</v>
      </c>
      <c r="C1241" t="str">
        <f t="shared" si="59"/>
        <v>FFDFD3C0</v>
      </c>
      <c r="D1241" t="s">
        <v>113</v>
      </c>
      <c r="E1241">
        <v>7</v>
      </c>
      <c r="H1241">
        <v>170</v>
      </c>
      <c r="I1241" t="s">
        <v>114</v>
      </c>
      <c r="J1241" t="s">
        <v>115</v>
      </c>
      <c r="K1241">
        <v>0</v>
      </c>
      <c r="L1241">
        <v>3</v>
      </c>
      <c r="M1241">
        <v>0</v>
      </c>
      <c r="N1241">
        <v>2</v>
      </c>
      <c r="O1241">
        <v>1</v>
      </c>
      <c r="P1241">
        <v>0</v>
      </c>
      <c r="Q1241">
        <v>0</v>
      </c>
      <c r="S1241" t="str">
        <f>"14:00:49.234"</f>
        <v>14:00:49.234</v>
      </c>
      <c r="T1241" t="str">
        <f>"14:00:48.734"</f>
        <v>14:00:48.734</v>
      </c>
      <c r="U1241" t="str">
        <f t="shared" si="61"/>
        <v>A92BC1</v>
      </c>
      <c r="V1241">
        <v>0</v>
      </c>
      <c r="W1241">
        <v>0</v>
      </c>
      <c r="X1241">
        <v>2</v>
      </c>
      <c r="Z1241">
        <v>0</v>
      </c>
      <c r="AA1241">
        <v>9</v>
      </c>
      <c r="AB1241">
        <v>3</v>
      </c>
      <c r="AC1241">
        <v>0</v>
      </c>
      <c r="AD1241">
        <v>9</v>
      </c>
      <c r="AE1241">
        <v>0</v>
      </c>
      <c r="AF1241">
        <v>3</v>
      </c>
      <c r="AG1241">
        <v>2</v>
      </c>
      <c r="AH1241">
        <v>0</v>
      </c>
      <c r="AI1241" t="s">
        <v>1337</v>
      </c>
      <c r="AJ1241">
        <v>45.925640999999999</v>
      </c>
      <c r="AK1241" t="s">
        <v>1338</v>
      </c>
      <c r="AL1241">
        <v>-89.025520999999998</v>
      </c>
      <c r="AM1241">
        <v>100</v>
      </c>
      <c r="AN1241">
        <v>13900</v>
      </c>
      <c r="AO1241" t="s">
        <v>118</v>
      </c>
      <c r="AP1241">
        <v>93</v>
      </c>
      <c r="AQ1241">
        <v>-28</v>
      </c>
      <c r="AR1241">
        <v>-14208</v>
      </c>
      <c r="AZ1241">
        <v>1200</v>
      </c>
      <c r="BA1241">
        <v>1</v>
      </c>
      <c r="BB1241" t="str">
        <f t="shared" si="60"/>
        <v xml:space="preserve">N690LS  </v>
      </c>
      <c r="BC1241">
        <v>1</v>
      </c>
      <c r="BE1241">
        <v>0</v>
      </c>
      <c r="BF1241">
        <v>0</v>
      </c>
      <c r="BG1241">
        <v>0</v>
      </c>
      <c r="BH1241">
        <v>14425</v>
      </c>
      <c r="BI1241">
        <v>1</v>
      </c>
      <c r="BJ1241">
        <v>1</v>
      </c>
      <c r="BK1241">
        <v>1</v>
      </c>
      <c r="BL1241">
        <v>0</v>
      </c>
      <c r="BO1241">
        <v>0</v>
      </c>
      <c r="BP1241">
        <v>0</v>
      </c>
      <c r="BW1241" t="str">
        <f>"14:00:49.235"</f>
        <v>14:00:49.235</v>
      </c>
      <c r="CJ1241">
        <v>0</v>
      </c>
      <c r="CK1241">
        <v>2</v>
      </c>
      <c r="CL1241">
        <v>0</v>
      </c>
      <c r="CM1241">
        <v>2</v>
      </c>
      <c r="CN1241">
        <v>0</v>
      </c>
      <c r="CO1241">
        <v>6</v>
      </c>
      <c r="CP1241" t="s">
        <v>119</v>
      </c>
      <c r="CQ1241">
        <v>209</v>
      </c>
      <c r="CR1241">
        <v>3</v>
      </c>
      <c r="CW1241">
        <v>7309174</v>
      </c>
      <c r="CY1241">
        <v>1</v>
      </c>
      <c r="CZ1241">
        <v>0</v>
      </c>
      <c r="DA1241">
        <v>0</v>
      </c>
      <c r="DB1241">
        <v>0</v>
      </c>
      <c r="DC1241">
        <v>0</v>
      </c>
      <c r="DD1241">
        <v>1</v>
      </c>
      <c r="DE1241">
        <v>0</v>
      </c>
      <c r="DF1241">
        <v>0</v>
      </c>
      <c r="DG1241">
        <v>0</v>
      </c>
      <c r="DH1241">
        <v>0</v>
      </c>
      <c r="DI1241">
        <v>0</v>
      </c>
    </row>
    <row r="1242" spans="1:113" x14ac:dyDescent="0.3">
      <c r="A1242" t="str">
        <f>"09/28/2021 14:00:49.479"</f>
        <v>09/28/2021 14:00:49.479</v>
      </c>
      <c r="C1242" t="str">
        <f t="shared" si="59"/>
        <v>FFDFD3C0</v>
      </c>
      <c r="D1242" t="s">
        <v>120</v>
      </c>
      <c r="E1242">
        <v>12</v>
      </c>
      <c r="F1242">
        <v>1012</v>
      </c>
      <c r="G1242" t="s">
        <v>114</v>
      </c>
      <c r="J1242" t="s">
        <v>121</v>
      </c>
      <c r="K1242">
        <v>0</v>
      </c>
      <c r="L1242">
        <v>3</v>
      </c>
      <c r="M1242">
        <v>0</v>
      </c>
      <c r="N1242">
        <v>2</v>
      </c>
      <c r="O1242">
        <v>1</v>
      </c>
      <c r="P1242">
        <v>0</v>
      </c>
      <c r="Q1242">
        <v>0</v>
      </c>
      <c r="S1242" t="str">
        <f>"14:00:49.234"</f>
        <v>14:00:49.234</v>
      </c>
      <c r="T1242" t="str">
        <f>"14:00:48.734"</f>
        <v>14:00:48.734</v>
      </c>
      <c r="U1242" t="str">
        <f t="shared" si="61"/>
        <v>A92BC1</v>
      </c>
      <c r="V1242">
        <v>0</v>
      </c>
      <c r="W1242">
        <v>0</v>
      </c>
      <c r="X1242">
        <v>2</v>
      </c>
      <c r="Z1242">
        <v>0</v>
      </c>
      <c r="AA1242">
        <v>9</v>
      </c>
      <c r="AB1242">
        <v>3</v>
      </c>
      <c r="AC1242">
        <v>0</v>
      </c>
      <c r="AD1242">
        <v>9</v>
      </c>
      <c r="AE1242">
        <v>0</v>
      </c>
      <c r="AF1242">
        <v>3</v>
      </c>
      <c r="AG1242">
        <v>2</v>
      </c>
      <c r="AH1242">
        <v>0</v>
      </c>
      <c r="AI1242" t="s">
        <v>1337</v>
      </c>
      <c r="AJ1242">
        <v>45.925640999999999</v>
      </c>
      <c r="AK1242" t="s">
        <v>1338</v>
      </c>
      <c r="AL1242">
        <v>-89.025520999999998</v>
      </c>
      <c r="AM1242">
        <v>100</v>
      </c>
      <c r="AN1242">
        <v>13900</v>
      </c>
      <c r="AO1242" t="s">
        <v>118</v>
      </c>
      <c r="AP1242">
        <v>93</v>
      </c>
      <c r="AQ1242">
        <v>-28</v>
      </c>
      <c r="AR1242">
        <v>-14208</v>
      </c>
      <c r="AZ1242">
        <v>1200</v>
      </c>
      <c r="BA1242">
        <v>1</v>
      </c>
      <c r="BB1242" t="str">
        <f t="shared" si="60"/>
        <v xml:space="preserve">N690LS  </v>
      </c>
      <c r="BC1242">
        <v>1</v>
      </c>
      <c r="BE1242">
        <v>0</v>
      </c>
      <c r="BF1242">
        <v>0</v>
      </c>
      <c r="BG1242">
        <v>0</v>
      </c>
      <c r="BH1242">
        <v>14425</v>
      </c>
      <c r="BI1242">
        <v>1</v>
      </c>
      <c r="BJ1242">
        <v>1</v>
      </c>
      <c r="BK1242">
        <v>1</v>
      </c>
      <c r="BL1242">
        <v>0</v>
      </c>
      <c r="BO1242">
        <v>0</v>
      </c>
      <c r="BP1242">
        <v>0</v>
      </c>
      <c r="BW1242" t="str">
        <f>"14:00:49.235"</f>
        <v>14:00:49.235</v>
      </c>
      <c r="CJ1242">
        <v>0</v>
      </c>
      <c r="CK1242">
        <v>2</v>
      </c>
      <c r="CL1242">
        <v>0</v>
      </c>
      <c r="CM1242">
        <v>2</v>
      </c>
      <c r="CN1242">
        <v>0</v>
      </c>
      <c r="CO1242">
        <v>6</v>
      </c>
      <c r="CP1242" t="s">
        <v>119</v>
      </c>
      <c r="CQ1242">
        <v>209</v>
      </c>
      <c r="CR1242">
        <v>3</v>
      </c>
      <c r="CW1242">
        <v>7309174</v>
      </c>
      <c r="CY1242">
        <v>1</v>
      </c>
      <c r="CZ1242">
        <v>0</v>
      </c>
      <c r="DA1242">
        <v>1</v>
      </c>
      <c r="DB1242">
        <v>0</v>
      </c>
      <c r="DC1242">
        <v>0</v>
      </c>
      <c r="DD1242">
        <v>1</v>
      </c>
      <c r="DE1242">
        <v>0</v>
      </c>
      <c r="DF1242">
        <v>0</v>
      </c>
      <c r="DG1242">
        <v>0</v>
      </c>
      <c r="DH1242">
        <v>0</v>
      </c>
      <c r="DI1242">
        <v>0</v>
      </c>
    </row>
    <row r="1243" spans="1:113" x14ac:dyDescent="0.3">
      <c r="A1243" t="str">
        <f>"09/28/2021 14:00:50.479"</f>
        <v>09/28/2021 14:00:50.479</v>
      </c>
      <c r="C1243" t="str">
        <f t="shared" si="59"/>
        <v>FFDFD3C0</v>
      </c>
      <c r="D1243" t="s">
        <v>113</v>
      </c>
      <c r="E1243">
        <v>7</v>
      </c>
      <c r="H1243">
        <v>170</v>
      </c>
      <c r="I1243" t="s">
        <v>114</v>
      </c>
      <c r="J1243" t="s">
        <v>115</v>
      </c>
      <c r="K1243">
        <v>0</v>
      </c>
      <c r="L1243">
        <v>3</v>
      </c>
      <c r="M1243">
        <v>0</v>
      </c>
      <c r="N1243">
        <v>2</v>
      </c>
      <c r="O1243">
        <v>1</v>
      </c>
      <c r="P1243">
        <v>0</v>
      </c>
      <c r="Q1243">
        <v>0</v>
      </c>
      <c r="S1243" t="str">
        <f>"14:00:50.258"</f>
        <v>14:00:50.258</v>
      </c>
      <c r="T1243" t="str">
        <f>"14:00:49.758"</f>
        <v>14:00:49.758</v>
      </c>
      <c r="U1243" t="str">
        <f t="shared" si="61"/>
        <v>A92BC1</v>
      </c>
      <c r="V1243">
        <v>0</v>
      </c>
      <c r="W1243">
        <v>0</v>
      </c>
      <c r="X1243">
        <v>2</v>
      </c>
      <c r="Z1243">
        <v>0</v>
      </c>
      <c r="AA1243">
        <v>9</v>
      </c>
      <c r="AB1243">
        <v>3</v>
      </c>
      <c r="AC1243">
        <v>0</v>
      </c>
      <c r="AD1243">
        <v>9</v>
      </c>
      <c r="AE1243">
        <v>0</v>
      </c>
      <c r="AF1243">
        <v>3</v>
      </c>
      <c r="AG1243">
        <v>2</v>
      </c>
      <c r="AH1243">
        <v>0</v>
      </c>
      <c r="AI1243" t="s">
        <v>1339</v>
      </c>
      <c r="AJ1243">
        <v>45.925404999999998</v>
      </c>
      <c r="AK1243" t="s">
        <v>1340</v>
      </c>
      <c r="AL1243">
        <v>-89.025177999999997</v>
      </c>
      <c r="AM1243">
        <v>100</v>
      </c>
      <c r="AN1243">
        <v>13600</v>
      </c>
      <c r="AO1243" t="s">
        <v>118</v>
      </c>
      <c r="AP1243">
        <v>68</v>
      </c>
      <c r="AQ1243">
        <v>-54</v>
      </c>
      <c r="AR1243">
        <v>-16192</v>
      </c>
      <c r="AZ1243">
        <v>1200</v>
      </c>
      <c r="BA1243">
        <v>1</v>
      </c>
      <c r="BB1243" t="str">
        <f t="shared" si="60"/>
        <v xml:space="preserve">N690LS  </v>
      </c>
      <c r="BC1243">
        <v>1</v>
      </c>
      <c r="BE1243">
        <v>0</v>
      </c>
      <c r="BF1243">
        <v>0</v>
      </c>
      <c r="BG1243">
        <v>0</v>
      </c>
      <c r="BH1243">
        <v>14175</v>
      </c>
      <c r="BI1243">
        <v>1</v>
      </c>
      <c r="BJ1243">
        <v>1</v>
      </c>
      <c r="BK1243">
        <v>1</v>
      </c>
      <c r="BL1243">
        <v>0</v>
      </c>
      <c r="BO1243">
        <v>0</v>
      </c>
      <c r="BP1243">
        <v>0</v>
      </c>
      <c r="BW1243" t="str">
        <f>"14:00:50.264"</f>
        <v>14:00:50.264</v>
      </c>
      <c r="CJ1243">
        <v>0</v>
      </c>
      <c r="CK1243">
        <v>2</v>
      </c>
      <c r="CL1243">
        <v>0</v>
      </c>
      <c r="CM1243">
        <v>2</v>
      </c>
      <c r="CN1243">
        <v>0</v>
      </c>
      <c r="CO1243">
        <v>6</v>
      </c>
      <c r="CP1243" t="s">
        <v>119</v>
      </c>
      <c r="CQ1243">
        <v>209</v>
      </c>
      <c r="CR1243">
        <v>3</v>
      </c>
      <c r="CW1243">
        <v>7309557</v>
      </c>
      <c r="CY1243">
        <v>1</v>
      </c>
      <c r="CZ1243">
        <v>0</v>
      </c>
      <c r="DA1243">
        <v>0</v>
      </c>
      <c r="DB1243">
        <v>0</v>
      </c>
      <c r="DC1243">
        <v>0</v>
      </c>
      <c r="DD1243">
        <v>1</v>
      </c>
      <c r="DE1243">
        <v>0</v>
      </c>
      <c r="DF1243">
        <v>0</v>
      </c>
      <c r="DG1243">
        <v>0</v>
      </c>
      <c r="DH1243">
        <v>0</v>
      </c>
      <c r="DI1243">
        <v>0</v>
      </c>
    </row>
    <row r="1244" spans="1:113" x14ac:dyDescent="0.3">
      <c r="A1244" t="str">
        <f>"09/28/2021 14:00:50.479"</f>
        <v>09/28/2021 14:00:50.479</v>
      </c>
      <c r="C1244" t="str">
        <f t="shared" si="59"/>
        <v>FFDFD3C0</v>
      </c>
      <c r="D1244" t="s">
        <v>120</v>
      </c>
      <c r="E1244">
        <v>12</v>
      </c>
      <c r="F1244">
        <v>1012</v>
      </c>
      <c r="G1244" t="s">
        <v>114</v>
      </c>
      <c r="J1244" t="s">
        <v>121</v>
      </c>
      <c r="K1244">
        <v>0</v>
      </c>
      <c r="L1244">
        <v>3</v>
      </c>
      <c r="M1244">
        <v>0</v>
      </c>
      <c r="N1244">
        <v>2</v>
      </c>
      <c r="O1244">
        <v>1</v>
      </c>
      <c r="P1244">
        <v>0</v>
      </c>
      <c r="Q1244">
        <v>0</v>
      </c>
      <c r="S1244" t="str">
        <f>"14:00:50.258"</f>
        <v>14:00:50.258</v>
      </c>
      <c r="T1244" t="str">
        <f>"14:00:49.758"</f>
        <v>14:00:49.758</v>
      </c>
      <c r="U1244" t="str">
        <f t="shared" si="61"/>
        <v>A92BC1</v>
      </c>
      <c r="V1244">
        <v>0</v>
      </c>
      <c r="W1244">
        <v>0</v>
      </c>
      <c r="X1244">
        <v>2</v>
      </c>
      <c r="Z1244">
        <v>0</v>
      </c>
      <c r="AA1244">
        <v>9</v>
      </c>
      <c r="AB1244">
        <v>3</v>
      </c>
      <c r="AC1244">
        <v>0</v>
      </c>
      <c r="AD1244">
        <v>9</v>
      </c>
      <c r="AE1244">
        <v>0</v>
      </c>
      <c r="AF1244">
        <v>3</v>
      </c>
      <c r="AG1244">
        <v>2</v>
      </c>
      <c r="AH1244">
        <v>0</v>
      </c>
      <c r="AI1244" t="s">
        <v>1339</v>
      </c>
      <c r="AJ1244">
        <v>45.925404999999998</v>
      </c>
      <c r="AK1244" t="s">
        <v>1340</v>
      </c>
      <c r="AL1244">
        <v>-89.025177999999997</v>
      </c>
      <c r="AM1244">
        <v>100</v>
      </c>
      <c r="AN1244">
        <v>13600</v>
      </c>
      <c r="AO1244" t="s">
        <v>118</v>
      </c>
      <c r="AP1244">
        <v>68</v>
      </c>
      <c r="AQ1244">
        <v>-54</v>
      </c>
      <c r="AR1244">
        <v>-16192</v>
      </c>
      <c r="AZ1244">
        <v>1200</v>
      </c>
      <c r="BA1244">
        <v>1</v>
      </c>
      <c r="BB1244" t="str">
        <f t="shared" si="60"/>
        <v xml:space="preserve">N690LS  </v>
      </c>
      <c r="BC1244">
        <v>1</v>
      </c>
      <c r="BE1244">
        <v>0</v>
      </c>
      <c r="BF1244">
        <v>0</v>
      </c>
      <c r="BG1244">
        <v>0</v>
      </c>
      <c r="BH1244">
        <v>14175</v>
      </c>
      <c r="BI1244">
        <v>1</v>
      </c>
      <c r="BJ1244">
        <v>1</v>
      </c>
      <c r="BK1244">
        <v>1</v>
      </c>
      <c r="BL1244">
        <v>0</v>
      </c>
      <c r="BO1244">
        <v>0</v>
      </c>
      <c r="BP1244">
        <v>0</v>
      </c>
      <c r="BW1244" t="str">
        <f>"14:00:50.264"</f>
        <v>14:00:50.264</v>
      </c>
      <c r="CJ1244">
        <v>0</v>
      </c>
      <c r="CK1244">
        <v>2</v>
      </c>
      <c r="CL1244">
        <v>0</v>
      </c>
      <c r="CM1244">
        <v>2</v>
      </c>
      <c r="CN1244">
        <v>0</v>
      </c>
      <c r="CO1244">
        <v>6</v>
      </c>
      <c r="CP1244" t="s">
        <v>119</v>
      </c>
      <c r="CQ1244">
        <v>209</v>
      </c>
      <c r="CR1244">
        <v>3</v>
      </c>
      <c r="CW1244">
        <v>7309557</v>
      </c>
      <c r="CY1244">
        <v>1</v>
      </c>
      <c r="CZ1244">
        <v>0</v>
      </c>
      <c r="DA1244">
        <v>1</v>
      </c>
      <c r="DB1244">
        <v>0</v>
      </c>
      <c r="DC1244">
        <v>0</v>
      </c>
      <c r="DD1244">
        <v>1</v>
      </c>
      <c r="DE1244">
        <v>0</v>
      </c>
      <c r="DF1244">
        <v>0</v>
      </c>
      <c r="DG1244">
        <v>0</v>
      </c>
      <c r="DH1244">
        <v>0</v>
      </c>
      <c r="DI1244">
        <v>0</v>
      </c>
    </row>
    <row r="1245" spans="1:113" x14ac:dyDescent="0.3">
      <c r="A1245" t="str">
        <f>"09/28/2021 14:00:51.464"</f>
        <v>09/28/2021 14:00:51.464</v>
      </c>
      <c r="C1245" t="str">
        <f t="shared" si="59"/>
        <v>FFDFD3C0</v>
      </c>
      <c r="D1245" t="s">
        <v>113</v>
      </c>
      <c r="E1245">
        <v>7</v>
      </c>
      <c r="H1245">
        <v>170</v>
      </c>
      <c r="I1245" t="s">
        <v>114</v>
      </c>
      <c r="J1245" t="s">
        <v>115</v>
      </c>
      <c r="K1245">
        <v>0</v>
      </c>
      <c r="L1245">
        <v>3</v>
      </c>
      <c r="M1245">
        <v>0</v>
      </c>
      <c r="N1245">
        <v>2</v>
      </c>
      <c r="O1245">
        <v>1</v>
      </c>
      <c r="P1245">
        <v>0</v>
      </c>
      <c r="Q1245">
        <v>0</v>
      </c>
      <c r="S1245" t="str">
        <f>"14:00:51.281"</f>
        <v>14:00:51.281</v>
      </c>
      <c r="T1245" t="str">
        <f>"14:00:50.881"</f>
        <v>14:00:50.881</v>
      </c>
      <c r="U1245" t="str">
        <f t="shared" si="61"/>
        <v>A92BC1</v>
      </c>
      <c r="V1245">
        <v>0</v>
      </c>
      <c r="W1245">
        <v>0</v>
      </c>
      <c r="X1245">
        <v>2</v>
      </c>
      <c r="Z1245">
        <v>0</v>
      </c>
      <c r="AA1245">
        <v>9</v>
      </c>
      <c r="AB1245">
        <v>3</v>
      </c>
      <c r="AC1245">
        <v>0</v>
      </c>
      <c r="AD1245">
        <v>9</v>
      </c>
      <c r="AE1245">
        <v>0</v>
      </c>
      <c r="AF1245">
        <v>3</v>
      </c>
      <c r="AG1245">
        <v>2</v>
      </c>
      <c r="AH1245">
        <v>0</v>
      </c>
      <c r="AI1245" t="s">
        <v>1316</v>
      </c>
      <c r="AJ1245">
        <v>45.925232999999999</v>
      </c>
      <c r="AK1245" t="s">
        <v>1341</v>
      </c>
      <c r="AL1245">
        <v>-89.024963</v>
      </c>
      <c r="AM1245">
        <v>100</v>
      </c>
      <c r="AN1245">
        <v>13300</v>
      </c>
      <c r="AO1245" t="s">
        <v>118</v>
      </c>
      <c r="AP1245">
        <v>31</v>
      </c>
      <c r="AQ1245">
        <v>-47</v>
      </c>
      <c r="AR1245">
        <v>-18048</v>
      </c>
      <c r="AZ1245">
        <v>1200</v>
      </c>
      <c r="BA1245">
        <v>1</v>
      </c>
      <c r="BB1245" t="str">
        <f t="shared" si="60"/>
        <v xml:space="preserve">N690LS  </v>
      </c>
      <c r="BC1245">
        <v>1</v>
      </c>
      <c r="BE1245">
        <v>0</v>
      </c>
      <c r="BF1245">
        <v>0</v>
      </c>
      <c r="BG1245">
        <v>0</v>
      </c>
      <c r="BH1245">
        <v>13875</v>
      </c>
      <c r="BI1245">
        <v>1</v>
      </c>
      <c r="BJ1245">
        <v>1</v>
      </c>
      <c r="BK1245">
        <v>1</v>
      </c>
      <c r="BL1245">
        <v>0</v>
      </c>
      <c r="BO1245">
        <v>0</v>
      </c>
      <c r="BP1245">
        <v>0</v>
      </c>
      <c r="BW1245" t="str">
        <f>"14:00:51.283"</f>
        <v>14:00:51.283</v>
      </c>
      <c r="CJ1245">
        <v>0</v>
      </c>
      <c r="CK1245">
        <v>2</v>
      </c>
      <c r="CL1245">
        <v>0</v>
      </c>
      <c r="CM1245">
        <v>2</v>
      </c>
      <c r="CN1245">
        <v>0</v>
      </c>
      <c r="CO1245">
        <v>3</v>
      </c>
      <c r="CP1245" t="s">
        <v>119</v>
      </c>
      <c r="CQ1245">
        <v>209</v>
      </c>
      <c r="CR1245">
        <v>3</v>
      </c>
      <c r="CW1245">
        <v>7309955</v>
      </c>
      <c r="CY1245">
        <v>1</v>
      </c>
      <c r="CZ1245">
        <v>0</v>
      </c>
      <c r="DA1245">
        <v>0</v>
      </c>
      <c r="DB1245">
        <v>0</v>
      </c>
      <c r="DC1245">
        <v>0</v>
      </c>
      <c r="DD1245">
        <v>1</v>
      </c>
      <c r="DE1245">
        <v>0</v>
      </c>
      <c r="DF1245">
        <v>0</v>
      </c>
      <c r="DG1245">
        <v>0</v>
      </c>
      <c r="DH1245">
        <v>0</v>
      </c>
      <c r="DI1245">
        <v>0</v>
      </c>
    </row>
    <row r="1246" spans="1:113" x14ac:dyDescent="0.3">
      <c r="A1246" t="str">
        <f>"09/28/2021 14:00:51.497"</f>
        <v>09/28/2021 14:00:51.497</v>
      </c>
      <c r="C1246" t="str">
        <f t="shared" si="59"/>
        <v>FFDFD3C0</v>
      </c>
      <c r="D1246" t="s">
        <v>120</v>
      </c>
      <c r="E1246">
        <v>12</v>
      </c>
      <c r="F1246">
        <v>1012</v>
      </c>
      <c r="G1246" t="s">
        <v>114</v>
      </c>
      <c r="J1246" t="s">
        <v>121</v>
      </c>
      <c r="K1246">
        <v>0</v>
      </c>
      <c r="L1246">
        <v>3</v>
      </c>
      <c r="M1246">
        <v>0</v>
      </c>
      <c r="N1246">
        <v>2</v>
      </c>
      <c r="O1246">
        <v>1</v>
      </c>
      <c r="P1246">
        <v>0</v>
      </c>
      <c r="Q1246">
        <v>0</v>
      </c>
      <c r="S1246" t="str">
        <f>"14:00:51.281"</f>
        <v>14:00:51.281</v>
      </c>
      <c r="T1246" t="str">
        <f>"14:00:50.881"</f>
        <v>14:00:50.881</v>
      </c>
      <c r="U1246" t="str">
        <f t="shared" si="61"/>
        <v>A92BC1</v>
      </c>
      <c r="V1246">
        <v>0</v>
      </c>
      <c r="W1246">
        <v>0</v>
      </c>
      <c r="X1246">
        <v>2</v>
      </c>
      <c r="Z1246">
        <v>0</v>
      </c>
      <c r="AA1246">
        <v>9</v>
      </c>
      <c r="AB1246">
        <v>3</v>
      </c>
      <c r="AC1246">
        <v>0</v>
      </c>
      <c r="AD1246">
        <v>9</v>
      </c>
      <c r="AE1246">
        <v>0</v>
      </c>
      <c r="AF1246">
        <v>3</v>
      </c>
      <c r="AG1246">
        <v>2</v>
      </c>
      <c r="AH1246">
        <v>0</v>
      </c>
      <c r="AI1246" t="s">
        <v>1316</v>
      </c>
      <c r="AJ1246">
        <v>45.925232999999999</v>
      </c>
      <c r="AK1246" t="s">
        <v>1341</v>
      </c>
      <c r="AL1246">
        <v>-89.024963</v>
      </c>
      <c r="AM1246">
        <v>100</v>
      </c>
      <c r="AN1246">
        <v>13300</v>
      </c>
      <c r="AO1246" t="s">
        <v>118</v>
      </c>
      <c r="AP1246">
        <v>31</v>
      </c>
      <c r="AQ1246">
        <v>-47</v>
      </c>
      <c r="AR1246">
        <v>-18048</v>
      </c>
      <c r="AZ1246">
        <v>1200</v>
      </c>
      <c r="BA1246">
        <v>1</v>
      </c>
      <c r="BB1246" t="str">
        <f t="shared" si="60"/>
        <v xml:space="preserve">N690LS  </v>
      </c>
      <c r="BC1246">
        <v>1</v>
      </c>
      <c r="BE1246">
        <v>0</v>
      </c>
      <c r="BF1246">
        <v>0</v>
      </c>
      <c r="BG1246">
        <v>0</v>
      </c>
      <c r="BH1246">
        <v>13875</v>
      </c>
      <c r="BI1246">
        <v>1</v>
      </c>
      <c r="BJ1246">
        <v>1</v>
      </c>
      <c r="BK1246">
        <v>1</v>
      </c>
      <c r="BL1246">
        <v>0</v>
      </c>
      <c r="BO1246">
        <v>0</v>
      </c>
      <c r="BP1246">
        <v>0</v>
      </c>
      <c r="BW1246" t="str">
        <f>"14:00:51.283"</f>
        <v>14:00:51.283</v>
      </c>
      <c r="CJ1246">
        <v>0</v>
      </c>
      <c r="CK1246">
        <v>2</v>
      </c>
      <c r="CL1246">
        <v>0</v>
      </c>
      <c r="CM1246">
        <v>2</v>
      </c>
      <c r="CN1246">
        <v>0</v>
      </c>
      <c r="CO1246">
        <v>3</v>
      </c>
      <c r="CP1246" t="s">
        <v>119</v>
      </c>
      <c r="CQ1246">
        <v>464</v>
      </c>
      <c r="CR1246">
        <v>0</v>
      </c>
      <c r="CW1246">
        <v>2623239</v>
      </c>
      <c r="CY1246">
        <v>1</v>
      </c>
      <c r="CZ1246">
        <v>0</v>
      </c>
      <c r="DA1246">
        <v>1</v>
      </c>
      <c r="DB1246">
        <v>0</v>
      </c>
      <c r="DC1246">
        <v>0</v>
      </c>
      <c r="DD1246">
        <v>1</v>
      </c>
      <c r="DE1246">
        <v>0</v>
      </c>
      <c r="DF1246">
        <v>0</v>
      </c>
      <c r="DG1246">
        <v>0</v>
      </c>
      <c r="DH1246">
        <v>0</v>
      </c>
      <c r="DI1246">
        <v>0</v>
      </c>
    </row>
    <row r="1247" spans="1:113" x14ac:dyDescent="0.3">
      <c r="A1247" t="str">
        <f>"09/28/2021 14:00:52.544"</f>
        <v>09/28/2021 14:00:52.544</v>
      </c>
      <c r="C1247" t="str">
        <f t="shared" si="59"/>
        <v>FFDFD3C0</v>
      </c>
      <c r="D1247" t="s">
        <v>120</v>
      </c>
      <c r="E1247">
        <v>12</v>
      </c>
      <c r="F1247">
        <v>1012</v>
      </c>
      <c r="G1247" t="s">
        <v>114</v>
      </c>
      <c r="J1247" t="s">
        <v>121</v>
      </c>
      <c r="K1247">
        <v>0</v>
      </c>
      <c r="L1247">
        <v>3</v>
      </c>
      <c r="M1247">
        <v>0</v>
      </c>
      <c r="N1247">
        <v>2</v>
      </c>
      <c r="O1247">
        <v>1</v>
      </c>
      <c r="P1247">
        <v>0</v>
      </c>
      <c r="Q1247">
        <v>0</v>
      </c>
      <c r="S1247" t="str">
        <f>"14:00:52.336"</f>
        <v>14:00:52.336</v>
      </c>
      <c r="T1247" t="str">
        <f>"14:00:51.936"</f>
        <v>14:00:51.936</v>
      </c>
      <c r="U1247" t="str">
        <f t="shared" si="61"/>
        <v>A92BC1</v>
      </c>
      <c r="V1247">
        <v>0</v>
      </c>
      <c r="W1247">
        <v>0</v>
      </c>
      <c r="X1247">
        <v>2</v>
      </c>
      <c r="Z1247">
        <v>0</v>
      </c>
      <c r="AA1247">
        <v>9</v>
      </c>
      <c r="AB1247">
        <v>3</v>
      </c>
      <c r="AC1247">
        <v>0</v>
      </c>
      <c r="AD1247">
        <v>7</v>
      </c>
      <c r="AE1247">
        <v>0</v>
      </c>
      <c r="AF1247">
        <v>3</v>
      </c>
      <c r="AG1247">
        <v>2</v>
      </c>
      <c r="AH1247">
        <v>0</v>
      </c>
      <c r="AI1247" t="s">
        <v>1342</v>
      </c>
      <c r="AJ1247">
        <v>45.925105000000002</v>
      </c>
      <c r="AK1247" t="s">
        <v>1343</v>
      </c>
      <c r="AL1247">
        <v>-89.024770000000004</v>
      </c>
      <c r="AM1247">
        <v>100</v>
      </c>
      <c r="AN1247">
        <v>13000</v>
      </c>
      <c r="AO1247" t="s">
        <v>118</v>
      </c>
      <c r="AP1247">
        <v>26</v>
      </c>
      <c r="AQ1247">
        <v>-28</v>
      </c>
      <c r="AR1247">
        <v>-19584</v>
      </c>
      <c r="AZ1247">
        <v>1200</v>
      </c>
      <c r="BA1247">
        <v>1</v>
      </c>
      <c r="BB1247" t="str">
        <f t="shared" si="60"/>
        <v xml:space="preserve">N690LS  </v>
      </c>
      <c r="BC1247">
        <v>1</v>
      </c>
      <c r="BE1247">
        <v>0</v>
      </c>
      <c r="BF1247">
        <v>0</v>
      </c>
      <c r="BG1247">
        <v>0</v>
      </c>
      <c r="BH1247">
        <v>13675</v>
      </c>
      <c r="BI1247">
        <v>1</v>
      </c>
      <c r="BJ1247">
        <v>1</v>
      </c>
      <c r="BK1247">
        <v>1</v>
      </c>
      <c r="BL1247">
        <v>0</v>
      </c>
      <c r="BO1247">
        <v>0</v>
      </c>
      <c r="BP1247">
        <v>0</v>
      </c>
      <c r="BW1247" t="str">
        <f>"14:00:52.336"</f>
        <v>14:00:52.336</v>
      </c>
      <c r="CJ1247">
        <v>0</v>
      </c>
      <c r="CK1247">
        <v>0</v>
      </c>
      <c r="CL1247">
        <v>0</v>
      </c>
      <c r="CM1247">
        <v>2</v>
      </c>
      <c r="CN1247">
        <v>0</v>
      </c>
      <c r="CO1247">
        <v>7</v>
      </c>
      <c r="CP1247" t="s">
        <v>119</v>
      </c>
      <c r="CQ1247">
        <v>209</v>
      </c>
      <c r="CR1247">
        <v>3</v>
      </c>
      <c r="CW1247">
        <v>7310355</v>
      </c>
      <c r="CY1247">
        <v>1</v>
      </c>
      <c r="CZ1247">
        <v>0</v>
      </c>
      <c r="DA1247">
        <v>0</v>
      </c>
      <c r="DB1247">
        <v>0</v>
      </c>
      <c r="DC1247">
        <v>0</v>
      </c>
      <c r="DD1247">
        <v>1</v>
      </c>
      <c r="DE1247">
        <v>1</v>
      </c>
      <c r="DF1247">
        <v>0</v>
      </c>
      <c r="DG1247">
        <v>1</v>
      </c>
      <c r="DH1247">
        <v>0</v>
      </c>
      <c r="DI1247">
        <v>0</v>
      </c>
    </row>
    <row r="1248" spans="1:113" x14ac:dyDescent="0.3">
      <c r="A1248" t="str">
        <f>"09/28/2021 14:00:52.622"</f>
        <v>09/28/2021 14:00:52.622</v>
      </c>
      <c r="C1248" t="str">
        <f t="shared" si="59"/>
        <v>FFDFD3C0</v>
      </c>
      <c r="D1248" t="s">
        <v>113</v>
      </c>
      <c r="E1248">
        <v>7</v>
      </c>
      <c r="H1248">
        <v>170</v>
      </c>
      <c r="I1248" t="s">
        <v>114</v>
      </c>
      <c r="J1248" t="s">
        <v>115</v>
      </c>
      <c r="K1248">
        <v>0</v>
      </c>
      <c r="L1248">
        <v>3</v>
      </c>
      <c r="M1248">
        <v>0</v>
      </c>
      <c r="N1248">
        <v>2</v>
      </c>
      <c r="O1248">
        <v>1</v>
      </c>
      <c r="P1248">
        <v>0</v>
      </c>
      <c r="Q1248">
        <v>0</v>
      </c>
      <c r="S1248" t="str">
        <f>"14:00:52.336"</f>
        <v>14:00:52.336</v>
      </c>
      <c r="T1248" t="str">
        <f>"14:00:51.936"</f>
        <v>14:00:51.936</v>
      </c>
      <c r="U1248" t="str">
        <f t="shared" si="61"/>
        <v>A92BC1</v>
      </c>
      <c r="V1248">
        <v>0</v>
      </c>
      <c r="W1248">
        <v>0</v>
      </c>
      <c r="X1248">
        <v>2</v>
      </c>
      <c r="Z1248">
        <v>0</v>
      </c>
      <c r="AA1248">
        <v>9</v>
      </c>
      <c r="AB1248">
        <v>3</v>
      </c>
      <c r="AC1248">
        <v>0</v>
      </c>
      <c r="AD1248">
        <v>7</v>
      </c>
      <c r="AE1248">
        <v>0</v>
      </c>
      <c r="AF1248">
        <v>3</v>
      </c>
      <c r="AG1248">
        <v>2</v>
      </c>
      <c r="AH1248">
        <v>0</v>
      </c>
      <c r="AI1248" t="s">
        <v>1342</v>
      </c>
      <c r="AJ1248">
        <v>45.925105000000002</v>
      </c>
      <c r="AK1248" t="s">
        <v>1343</v>
      </c>
      <c r="AL1248">
        <v>-89.024770000000004</v>
      </c>
      <c r="AM1248">
        <v>100</v>
      </c>
      <c r="AN1248">
        <v>13000</v>
      </c>
      <c r="AO1248" t="s">
        <v>118</v>
      </c>
      <c r="AP1248">
        <v>26</v>
      </c>
      <c r="AQ1248">
        <v>-28</v>
      </c>
      <c r="AR1248">
        <v>-19584</v>
      </c>
      <c r="AZ1248">
        <v>1200</v>
      </c>
      <c r="BA1248">
        <v>1</v>
      </c>
      <c r="BB1248" t="str">
        <f t="shared" si="60"/>
        <v xml:space="preserve">N690LS  </v>
      </c>
      <c r="BC1248">
        <v>1</v>
      </c>
      <c r="BE1248">
        <v>0</v>
      </c>
      <c r="BF1248">
        <v>0</v>
      </c>
      <c r="BG1248">
        <v>0</v>
      </c>
      <c r="BH1248">
        <v>13675</v>
      </c>
      <c r="BI1248">
        <v>1</v>
      </c>
      <c r="BJ1248">
        <v>1</v>
      </c>
      <c r="BK1248">
        <v>1</v>
      </c>
      <c r="BL1248">
        <v>0</v>
      </c>
      <c r="BO1248">
        <v>0</v>
      </c>
      <c r="BP1248">
        <v>0</v>
      </c>
      <c r="BW1248" t="str">
        <f>"14:00:52.336"</f>
        <v>14:00:52.336</v>
      </c>
      <c r="CJ1248">
        <v>0</v>
      </c>
      <c r="CK1248">
        <v>0</v>
      </c>
      <c r="CL1248">
        <v>0</v>
      </c>
      <c r="CM1248">
        <v>2</v>
      </c>
      <c r="CN1248">
        <v>0</v>
      </c>
      <c r="CO1248">
        <v>7</v>
      </c>
      <c r="CP1248" t="s">
        <v>119</v>
      </c>
      <c r="CQ1248">
        <v>209</v>
      </c>
      <c r="CR1248">
        <v>3</v>
      </c>
      <c r="CW1248">
        <v>7310355</v>
      </c>
      <c r="CY1248">
        <v>1</v>
      </c>
      <c r="CZ1248">
        <v>0</v>
      </c>
      <c r="DA1248">
        <v>1</v>
      </c>
      <c r="DB1248">
        <v>0</v>
      </c>
      <c r="DC1248">
        <v>0</v>
      </c>
      <c r="DD1248">
        <v>1</v>
      </c>
      <c r="DE1248">
        <v>1</v>
      </c>
      <c r="DF1248">
        <v>0</v>
      </c>
      <c r="DG1248">
        <v>1</v>
      </c>
      <c r="DH1248">
        <v>0</v>
      </c>
      <c r="DI1248">
        <v>0</v>
      </c>
    </row>
    <row r="1249" spans="1:113" x14ac:dyDescent="0.3">
      <c r="A1249" t="str">
        <f>"09/28/2021 14:00:53.450"</f>
        <v>09/28/2021 14:00:53.450</v>
      </c>
      <c r="C1249" t="str">
        <f t="shared" si="59"/>
        <v>FFDFD3C0</v>
      </c>
      <c r="D1249" t="s">
        <v>113</v>
      </c>
      <c r="E1249">
        <v>7</v>
      </c>
      <c r="H1249">
        <v>170</v>
      </c>
      <c r="I1249" t="s">
        <v>114</v>
      </c>
      <c r="J1249" t="s">
        <v>115</v>
      </c>
      <c r="K1249">
        <v>0</v>
      </c>
      <c r="L1249">
        <v>3</v>
      </c>
      <c r="M1249">
        <v>0</v>
      </c>
      <c r="N1249">
        <v>2</v>
      </c>
      <c r="O1249">
        <v>1</v>
      </c>
      <c r="P1249">
        <v>0</v>
      </c>
      <c r="Q1249">
        <v>0</v>
      </c>
      <c r="S1249" t="str">
        <f>"14:00:53.250"</f>
        <v>14:00:53.250</v>
      </c>
      <c r="T1249" t="str">
        <f>"14:00:52.850"</f>
        <v>14:00:52.850</v>
      </c>
      <c r="U1249" t="str">
        <f t="shared" si="61"/>
        <v>A92BC1</v>
      </c>
      <c r="V1249">
        <v>0</v>
      </c>
      <c r="W1249">
        <v>0</v>
      </c>
      <c r="X1249">
        <v>2</v>
      </c>
      <c r="Z1249">
        <v>0</v>
      </c>
      <c r="AA1249">
        <v>8</v>
      </c>
      <c r="AB1249">
        <v>3</v>
      </c>
      <c r="AC1249">
        <v>0</v>
      </c>
      <c r="AD1249">
        <v>9</v>
      </c>
      <c r="AE1249">
        <v>0</v>
      </c>
      <c r="AF1249">
        <v>3</v>
      </c>
      <c r="AG1249">
        <v>2</v>
      </c>
      <c r="AH1249">
        <v>0</v>
      </c>
      <c r="AI1249" t="s">
        <v>1314</v>
      </c>
      <c r="AJ1249">
        <v>45.924954</v>
      </c>
      <c r="AK1249" t="s">
        <v>1344</v>
      </c>
      <c r="AL1249">
        <v>-89.024405000000002</v>
      </c>
      <c r="AM1249">
        <v>100</v>
      </c>
      <c r="AN1249">
        <v>12700</v>
      </c>
      <c r="AO1249" t="s">
        <v>118</v>
      </c>
      <c r="AP1249">
        <v>50</v>
      </c>
      <c r="AQ1249">
        <v>-39</v>
      </c>
      <c r="AR1249">
        <v>-19968</v>
      </c>
      <c r="AZ1249">
        <v>1200</v>
      </c>
      <c r="BA1249">
        <v>1</v>
      </c>
      <c r="BB1249" t="str">
        <f t="shared" si="60"/>
        <v xml:space="preserve">N690LS  </v>
      </c>
      <c r="BC1249">
        <v>1</v>
      </c>
      <c r="BE1249">
        <v>0</v>
      </c>
      <c r="BF1249">
        <v>0</v>
      </c>
      <c r="BG1249">
        <v>0</v>
      </c>
      <c r="BH1249">
        <v>13225</v>
      </c>
      <c r="BI1249">
        <v>1</v>
      </c>
      <c r="BJ1249">
        <v>1</v>
      </c>
      <c r="BK1249">
        <v>1</v>
      </c>
      <c r="BL1249">
        <v>0</v>
      </c>
      <c r="BO1249">
        <v>0</v>
      </c>
      <c r="BP1249">
        <v>0</v>
      </c>
      <c r="BW1249" t="str">
        <f>"14:00:53.257"</f>
        <v>14:00:53.257</v>
      </c>
      <c r="CJ1249">
        <v>0</v>
      </c>
      <c r="CK1249">
        <v>2</v>
      </c>
      <c r="CL1249">
        <v>0</v>
      </c>
      <c r="CM1249">
        <v>2</v>
      </c>
      <c r="CN1249">
        <v>0</v>
      </c>
      <c r="CO1249">
        <v>3</v>
      </c>
      <c r="CP1249" t="s">
        <v>119</v>
      </c>
      <c r="CQ1249">
        <v>209</v>
      </c>
      <c r="CR1249">
        <v>3</v>
      </c>
      <c r="CW1249">
        <v>7310717</v>
      </c>
      <c r="CY1249">
        <v>1</v>
      </c>
      <c r="CZ1249">
        <v>0</v>
      </c>
      <c r="DA1249">
        <v>0</v>
      </c>
      <c r="DB1249">
        <v>0</v>
      </c>
      <c r="DC1249">
        <v>0</v>
      </c>
      <c r="DD1249">
        <v>1</v>
      </c>
      <c r="DE1249">
        <v>0</v>
      </c>
      <c r="DF1249">
        <v>0</v>
      </c>
      <c r="DG1249">
        <v>0</v>
      </c>
      <c r="DH1249">
        <v>0</v>
      </c>
      <c r="DI1249">
        <v>0</v>
      </c>
    </row>
    <row r="1250" spans="1:113" x14ac:dyDescent="0.3">
      <c r="A1250" t="str">
        <f>"09/28/2021 14:00:53.450"</f>
        <v>09/28/2021 14:00:53.450</v>
      </c>
      <c r="C1250" t="str">
        <f t="shared" si="59"/>
        <v>FFDFD3C0</v>
      </c>
      <c r="D1250" t="s">
        <v>120</v>
      </c>
      <c r="E1250">
        <v>12</v>
      </c>
      <c r="F1250">
        <v>1012</v>
      </c>
      <c r="G1250" t="s">
        <v>114</v>
      </c>
      <c r="J1250" t="s">
        <v>121</v>
      </c>
      <c r="K1250">
        <v>0</v>
      </c>
      <c r="L1250">
        <v>3</v>
      </c>
      <c r="M1250">
        <v>0</v>
      </c>
      <c r="N1250">
        <v>2</v>
      </c>
      <c r="O1250">
        <v>1</v>
      </c>
      <c r="P1250">
        <v>0</v>
      </c>
      <c r="Q1250">
        <v>0</v>
      </c>
      <c r="S1250" t="str">
        <f>"14:00:53.250"</f>
        <v>14:00:53.250</v>
      </c>
      <c r="T1250" t="str">
        <f>"14:00:52.850"</f>
        <v>14:00:52.850</v>
      </c>
      <c r="U1250" t="str">
        <f t="shared" si="61"/>
        <v>A92BC1</v>
      </c>
      <c r="V1250">
        <v>0</v>
      </c>
      <c r="W1250">
        <v>0</v>
      </c>
      <c r="X1250">
        <v>2</v>
      </c>
      <c r="Z1250">
        <v>0</v>
      </c>
      <c r="AA1250">
        <v>8</v>
      </c>
      <c r="AB1250">
        <v>3</v>
      </c>
      <c r="AC1250">
        <v>0</v>
      </c>
      <c r="AD1250">
        <v>9</v>
      </c>
      <c r="AE1250">
        <v>0</v>
      </c>
      <c r="AF1250">
        <v>3</v>
      </c>
      <c r="AG1250">
        <v>2</v>
      </c>
      <c r="AH1250">
        <v>0</v>
      </c>
      <c r="AI1250" t="s">
        <v>1314</v>
      </c>
      <c r="AJ1250">
        <v>45.924954</v>
      </c>
      <c r="AK1250" t="s">
        <v>1344</v>
      </c>
      <c r="AL1250">
        <v>-89.024405000000002</v>
      </c>
      <c r="AM1250">
        <v>100</v>
      </c>
      <c r="AN1250">
        <v>12700</v>
      </c>
      <c r="AO1250" t="s">
        <v>118</v>
      </c>
      <c r="AP1250">
        <v>50</v>
      </c>
      <c r="AQ1250">
        <v>-39</v>
      </c>
      <c r="AR1250">
        <v>-19968</v>
      </c>
      <c r="AZ1250">
        <v>1200</v>
      </c>
      <c r="BA1250">
        <v>1</v>
      </c>
      <c r="BB1250" t="str">
        <f t="shared" si="60"/>
        <v xml:space="preserve">N690LS  </v>
      </c>
      <c r="BC1250">
        <v>1</v>
      </c>
      <c r="BE1250">
        <v>0</v>
      </c>
      <c r="BF1250">
        <v>0</v>
      </c>
      <c r="BG1250">
        <v>0</v>
      </c>
      <c r="BH1250">
        <v>13225</v>
      </c>
      <c r="BI1250">
        <v>1</v>
      </c>
      <c r="BJ1250">
        <v>1</v>
      </c>
      <c r="BK1250">
        <v>1</v>
      </c>
      <c r="BL1250">
        <v>0</v>
      </c>
      <c r="BO1250">
        <v>0</v>
      </c>
      <c r="BP1250">
        <v>0</v>
      </c>
      <c r="BW1250" t="str">
        <f>"14:00:53.257"</f>
        <v>14:00:53.257</v>
      </c>
      <c r="CJ1250">
        <v>0</v>
      </c>
      <c r="CK1250">
        <v>2</v>
      </c>
      <c r="CL1250">
        <v>0</v>
      </c>
      <c r="CM1250">
        <v>2</v>
      </c>
      <c r="CN1250">
        <v>0</v>
      </c>
      <c r="CO1250">
        <v>3</v>
      </c>
      <c r="CP1250" t="s">
        <v>119</v>
      </c>
      <c r="CQ1250">
        <v>464</v>
      </c>
      <c r="CR1250">
        <v>3</v>
      </c>
      <c r="CW1250">
        <v>5810449</v>
      </c>
      <c r="CY1250">
        <v>1</v>
      </c>
      <c r="CZ1250">
        <v>0</v>
      </c>
      <c r="DA1250">
        <v>1</v>
      </c>
      <c r="DB1250">
        <v>0</v>
      </c>
      <c r="DC1250">
        <v>0</v>
      </c>
      <c r="DD1250">
        <v>1</v>
      </c>
      <c r="DE1250">
        <v>0</v>
      </c>
      <c r="DF1250">
        <v>0</v>
      </c>
      <c r="DG1250">
        <v>0</v>
      </c>
      <c r="DH1250">
        <v>0</v>
      </c>
      <c r="DI1250">
        <v>0</v>
      </c>
    </row>
    <row r="1251" spans="1:113" x14ac:dyDescent="0.3">
      <c r="A1251" t="str">
        <f>"09/28/2021 14:00:54.500"</f>
        <v>09/28/2021 14:00:54.500</v>
      </c>
      <c r="C1251" t="str">
        <f t="shared" si="59"/>
        <v>FFDFD3C0</v>
      </c>
      <c r="D1251" t="s">
        <v>120</v>
      </c>
      <c r="E1251">
        <v>12</v>
      </c>
      <c r="F1251">
        <v>1012</v>
      </c>
      <c r="G1251" t="s">
        <v>114</v>
      </c>
      <c r="J1251" t="s">
        <v>121</v>
      </c>
      <c r="K1251">
        <v>0</v>
      </c>
      <c r="L1251">
        <v>3</v>
      </c>
      <c r="M1251">
        <v>0</v>
      </c>
      <c r="N1251">
        <v>2</v>
      </c>
      <c r="O1251">
        <v>1</v>
      </c>
      <c r="P1251">
        <v>0</v>
      </c>
      <c r="Q1251">
        <v>0</v>
      </c>
      <c r="S1251" t="str">
        <f>"14:00:54.281"</f>
        <v>14:00:54.281</v>
      </c>
      <c r="T1251" t="str">
        <f>"14:00:53.781"</f>
        <v>14:00:53.781</v>
      </c>
      <c r="U1251" t="str">
        <f t="shared" si="61"/>
        <v>A92BC1</v>
      </c>
      <c r="V1251">
        <v>0</v>
      </c>
      <c r="W1251">
        <v>0</v>
      </c>
      <c r="X1251">
        <v>2</v>
      </c>
      <c r="Z1251">
        <v>0</v>
      </c>
      <c r="AA1251">
        <v>8</v>
      </c>
      <c r="AB1251">
        <v>3</v>
      </c>
      <c r="AC1251">
        <v>0</v>
      </c>
      <c r="AD1251">
        <v>9</v>
      </c>
      <c r="AE1251">
        <v>0</v>
      </c>
      <c r="AF1251">
        <v>3</v>
      </c>
      <c r="AG1251">
        <v>2</v>
      </c>
      <c r="AH1251">
        <v>0</v>
      </c>
      <c r="AI1251" t="s">
        <v>1345</v>
      </c>
      <c r="AJ1251">
        <v>45.924760999999997</v>
      </c>
      <c r="AK1251" t="s">
        <v>1346</v>
      </c>
      <c r="AL1251">
        <v>-89.024147999999997</v>
      </c>
      <c r="AM1251">
        <v>100</v>
      </c>
      <c r="AN1251">
        <v>12300</v>
      </c>
      <c r="AO1251" t="s">
        <v>118</v>
      </c>
      <c r="AP1251">
        <v>36</v>
      </c>
      <c r="AQ1251">
        <v>-45</v>
      </c>
      <c r="AR1251">
        <v>-21248</v>
      </c>
      <c r="AZ1251">
        <v>1200</v>
      </c>
      <c r="BA1251">
        <v>1</v>
      </c>
      <c r="BB1251" t="str">
        <f t="shared" si="60"/>
        <v xml:space="preserve">N690LS  </v>
      </c>
      <c r="BC1251">
        <v>1</v>
      </c>
      <c r="BE1251">
        <v>0</v>
      </c>
      <c r="BF1251">
        <v>0</v>
      </c>
      <c r="BG1251">
        <v>0</v>
      </c>
      <c r="BH1251">
        <v>13050</v>
      </c>
      <c r="BI1251">
        <v>1</v>
      </c>
      <c r="BJ1251">
        <v>1</v>
      </c>
      <c r="BK1251">
        <v>1</v>
      </c>
      <c r="BL1251">
        <v>0</v>
      </c>
      <c r="BO1251">
        <v>0</v>
      </c>
      <c r="BP1251">
        <v>0</v>
      </c>
      <c r="BW1251" t="str">
        <f>"14:00:54.284"</f>
        <v>14:00:54.284</v>
      </c>
      <c r="CJ1251">
        <v>0</v>
      </c>
      <c r="CK1251">
        <v>2</v>
      </c>
      <c r="CL1251">
        <v>0</v>
      </c>
      <c r="CM1251">
        <v>2</v>
      </c>
      <c r="CN1251">
        <v>0</v>
      </c>
      <c r="CO1251">
        <v>6</v>
      </c>
      <c r="CP1251" t="s">
        <v>119</v>
      </c>
      <c r="CQ1251">
        <v>209</v>
      </c>
      <c r="CR1251">
        <v>3</v>
      </c>
      <c r="CW1251">
        <v>7311089</v>
      </c>
      <c r="CY1251">
        <v>1</v>
      </c>
      <c r="CZ1251">
        <v>0</v>
      </c>
      <c r="DA1251">
        <v>0</v>
      </c>
      <c r="DB1251">
        <v>0</v>
      </c>
      <c r="DC1251">
        <v>0</v>
      </c>
      <c r="DD1251">
        <v>1</v>
      </c>
      <c r="DE1251">
        <v>0</v>
      </c>
      <c r="DF1251">
        <v>0</v>
      </c>
      <c r="DG1251">
        <v>0</v>
      </c>
      <c r="DH1251">
        <v>0</v>
      </c>
      <c r="DI1251">
        <v>0</v>
      </c>
    </row>
    <row r="1252" spans="1:113" x14ac:dyDescent="0.3">
      <c r="A1252" t="str">
        <f>"09/28/2021 14:00:54.547"</f>
        <v>09/28/2021 14:00:54.547</v>
      </c>
      <c r="C1252" t="str">
        <f t="shared" si="59"/>
        <v>FFDFD3C0</v>
      </c>
      <c r="D1252" t="s">
        <v>113</v>
      </c>
      <c r="E1252">
        <v>7</v>
      </c>
      <c r="H1252">
        <v>170</v>
      </c>
      <c r="I1252" t="s">
        <v>114</v>
      </c>
      <c r="J1252" t="s">
        <v>115</v>
      </c>
      <c r="K1252">
        <v>0</v>
      </c>
      <c r="L1252">
        <v>3</v>
      </c>
      <c r="M1252">
        <v>0</v>
      </c>
      <c r="N1252">
        <v>2</v>
      </c>
      <c r="O1252">
        <v>1</v>
      </c>
      <c r="P1252">
        <v>0</v>
      </c>
      <c r="Q1252">
        <v>0</v>
      </c>
      <c r="S1252" t="str">
        <f>"14:00:54.281"</f>
        <v>14:00:54.281</v>
      </c>
      <c r="T1252" t="str">
        <f>"14:00:53.781"</f>
        <v>14:00:53.781</v>
      </c>
      <c r="U1252" t="str">
        <f t="shared" si="61"/>
        <v>A92BC1</v>
      </c>
      <c r="V1252">
        <v>0</v>
      </c>
      <c r="W1252">
        <v>0</v>
      </c>
      <c r="X1252">
        <v>2</v>
      </c>
      <c r="Z1252">
        <v>0</v>
      </c>
      <c r="AA1252">
        <v>8</v>
      </c>
      <c r="AB1252">
        <v>3</v>
      </c>
      <c r="AC1252">
        <v>0</v>
      </c>
      <c r="AD1252">
        <v>9</v>
      </c>
      <c r="AE1252">
        <v>0</v>
      </c>
      <c r="AF1252">
        <v>3</v>
      </c>
      <c r="AG1252">
        <v>2</v>
      </c>
      <c r="AH1252">
        <v>0</v>
      </c>
      <c r="AI1252" t="s">
        <v>1345</v>
      </c>
      <c r="AJ1252">
        <v>45.924760999999997</v>
      </c>
      <c r="AK1252" t="s">
        <v>1346</v>
      </c>
      <c r="AL1252">
        <v>-89.024147999999997</v>
      </c>
      <c r="AM1252">
        <v>100</v>
      </c>
      <c r="AN1252">
        <v>12300</v>
      </c>
      <c r="AO1252" t="s">
        <v>118</v>
      </c>
      <c r="AP1252">
        <v>36</v>
      </c>
      <c r="AQ1252">
        <v>-45</v>
      </c>
      <c r="AR1252">
        <v>-21248</v>
      </c>
      <c r="AZ1252">
        <v>1200</v>
      </c>
      <c r="BA1252">
        <v>1</v>
      </c>
      <c r="BB1252" t="str">
        <f t="shared" si="60"/>
        <v xml:space="preserve">N690LS  </v>
      </c>
      <c r="BC1252">
        <v>1</v>
      </c>
      <c r="BE1252">
        <v>0</v>
      </c>
      <c r="BF1252">
        <v>0</v>
      </c>
      <c r="BG1252">
        <v>0</v>
      </c>
      <c r="BH1252">
        <v>13050</v>
      </c>
      <c r="BI1252">
        <v>1</v>
      </c>
      <c r="BJ1252">
        <v>1</v>
      </c>
      <c r="BK1252">
        <v>1</v>
      </c>
      <c r="BL1252">
        <v>0</v>
      </c>
      <c r="BO1252">
        <v>0</v>
      </c>
      <c r="BP1252">
        <v>0</v>
      </c>
      <c r="BW1252" t="str">
        <f>"14:00:54.284"</f>
        <v>14:00:54.284</v>
      </c>
      <c r="CJ1252">
        <v>0</v>
      </c>
      <c r="CK1252">
        <v>2</v>
      </c>
      <c r="CL1252">
        <v>0</v>
      </c>
      <c r="CM1252">
        <v>2</v>
      </c>
      <c r="CN1252">
        <v>0</v>
      </c>
      <c r="CO1252">
        <v>6</v>
      </c>
      <c r="CP1252" t="s">
        <v>119</v>
      </c>
      <c r="CQ1252">
        <v>209</v>
      </c>
      <c r="CR1252">
        <v>3</v>
      </c>
      <c r="CW1252">
        <v>7311089</v>
      </c>
      <c r="CY1252">
        <v>1</v>
      </c>
      <c r="CZ1252">
        <v>0</v>
      </c>
      <c r="DA1252">
        <v>1</v>
      </c>
      <c r="DB1252">
        <v>0</v>
      </c>
      <c r="DC1252">
        <v>0</v>
      </c>
      <c r="DD1252">
        <v>1</v>
      </c>
      <c r="DE1252">
        <v>0</v>
      </c>
      <c r="DF1252">
        <v>0</v>
      </c>
      <c r="DG1252">
        <v>0</v>
      </c>
      <c r="DH1252">
        <v>0</v>
      </c>
      <c r="DI1252">
        <v>0</v>
      </c>
    </row>
    <row r="1253" spans="1:113" x14ac:dyDescent="0.3">
      <c r="A1253" t="str">
        <f>"09/28/2021 14:00:56.094"</f>
        <v>09/28/2021 14:00:56.094</v>
      </c>
      <c r="C1253" t="str">
        <f t="shared" si="59"/>
        <v>FFDFD3C0</v>
      </c>
      <c r="D1253" t="s">
        <v>113</v>
      </c>
      <c r="E1253">
        <v>7</v>
      </c>
      <c r="H1253">
        <v>170</v>
      </c>
      <c r="I1253" t="s">
        <v>114</v>
      </c>
      <c r="J1253" t="s">
        <v>115</v>
      </c>
      <c r="K1253">
        <v>0</v>
      </c>
      <c r="L1253">
        <v>3</v>
      </c>
      <c r="M1253">
        <v>0</v>
      </c>
      <c r="N1253">
        <v>2</v>
      </c>
      <c r="O1253">
        <v>1</v>
      </c>
      <c r="P1253">
        <v>0</v>
      </c>
      <c r="Q1253">
        <v>0</v>
      </c>
      <c r="S1253" t="str">
        <f>"14:00:55.852"</f>
        <v>14:00:55.852</v>
      </c>
      <c r="T1253" t="str">
        <f>"14:00:55.352"</f>
        <v>14:00:55.352</v>
      </c>
      <c r="U1253" t="str">
        <f t="shared" si="61"/>
        <v>A92BC1</v>
      </c>
      <c r="V1253">
        <v>0</v>
      </c>
      <c r="W1253">
        <v>0</v>
      </c>
      <c r="X1253">
        <v>2</v>
      </c>
      <c r="Z1253">
        <v>0</v>
      </c>
      <c r="AA1253">
        <v>0</v>
      </c>
      <c r="AB1253">
        <v>3</v>
      </c>
      <c r="AC1253">
        <v>0</v>
      </c>
      <c r="AD1253">
        <v>7</v>
      </c>
      <c r="AE1253">
        <v>0</v>
      </c>
      <c r="AF1253">
        <v>3</v>
      </c>
      <c r="AG1253">
        <v>2</v>
      </c>
      <c r="AH1253">
        <v>0</v>
      </c>
      <c r="AI1253" t="s">
        <v>1347</v>
      </c>
      <c r="AJ1253">
        <v>45.924717999999999</v>
      </c>
      <c r="AK1253" t="s">
        <v>1348</v>
      </c>
      <c r="AL1253">
        <v>-89.023869000000005</v>
      </c>
      <c r="AM1253">
        <v>100</v>
      </c>
      <c r="AN1253">
        <v>11800</v>
      </c>
      <c r="AO1253" t="s">
        <v>118</v>
      </c>
      <c r="AP1253">
        <v>36</v>
      </c>
      <c r="AQ1253">
        <v>-45</v>
      </c>
      <c r="AR1253">
        <v>-21248</v>
      </c>
      <c r="AZ1253">
        <v>1200</v>
      </c>
      <c r="BA1253">
        <v>1</v>
      </c>
      <c r="BB1253" t="str">
        <f t="shared" si="60"/>
        <v xml:space="preserve">N690LS  </v>
      </c>
      <c r="BC1253">
        <v>1</v>
      </c>
      <c r="BE1253">
        <v>0</v>
      </c>
      <c r="BF1253">
        <v>0</v>
      </c>
      <c r="BG1253">
        <v>0</v>
      </c>
      <c r="BH1253">
        <v>13250</v>
      </c>
      <c r="BI1253">
        <v>1</v>
      </c>
      <c r="BJ1253">
        <v>1</v>
      </c>
      <c r="BK1253">
        <v>1</v>
      </c>
      <c r="BL1253">
        <v>0</v>
      </c>
      <c r="BO1253">
        <v>0</v>
      </c>
      <c r="BP1253">
        <v>0</v>
      </c>
      <c r="BW1253" t="str">
        <f>"14:00:55.859"</f>
        <v>14:00:55.859</v>
      </c>
      <c r="CJ1253">
        <v>0</v>
      </c>
      <c r="CK1253">
        <v>1</v>
      </c>
      <c r="CL1253">
        <v>0</v>
      </c>
      <c r="CM1253">
        <v>2</v>
      </c>
      <c r="CN1253">
        <v>0</v>
      </c>
      <c r="CO1253">
        <v>7</v>
      </c>
      <c r="CP1253" t="s">
        <v>119</v>
      </c>
      <c r="CQ1253">
        <v>209</v>
      </c>
      <c r="CR1253">
        <v>3</v>
      </c>
      <c r="CW1253">
        <v>7311672</v>
      </c>
      <c r="CY1253">
        <v>1</v>
      </c>
      <c r="CZ1253">
        <v>0</v>
      </c>
      <c r="DA1253">
        <v>0</v>
      </c>
      <c r="DB1253">
        <v>0</v>
      </c>
      <c r="DC1253">
        <v>0</v>
      </c>
      <c r="DD1253">
        <v>1</v>
      </c>
      <c r="DE1253">
        <v>1</v>
      </c>
      <c r="DF1253">
        <v>0</v>
      </c>
      <c r="DG1253">
        <v>1</v>
      </c>
      <c r="DH1253">
        <v>0</v>
      </c>
      <c r="DI1253">
        <v>0</v>
      </c>
    </row>
    <row r="1254" spans="1:113" x14ac:dyDescent="0.3">
      <c r="A1254" t="str">
        <f>"09/28/2021 14:00:56.094"</f>
        <v>09/28/2021 14:00:56.094</v>
      </c>
      <c r="C1254" t="str">
        <f t="shared" si="59"/>
        <v>FFDFD3C0</v>
      </c>
      <c r="D1254" t="s">
        <v>120</v>
      </c>
      <c r="E1254">
        <v>12</v>
      </c>
      <c r="F1254">
        <v>1012</v>
      </c>
      <c r="G1254" t="s">
        <v>114</v>
      </c>
      <c r="J1254" t="s">
        <v>121</v>
      </c>
      <c r="K1254">
        <v>0</v>
      </c>
      <c r="L1254">
        <v>3</v>
      </c>
      <c r="M1254">
        <v>0</v>
      </c>
      <c r="N1254">
        <v>2</v>
      </c>
      <c r="O1254">
        <v>1</v>
      </c>
      <c r="P1254">
        <v>0</v>
      </c>
      <c r="Q1254">
        <v>0</v>
      </c>
      <c r="S1254" t="str">
        <f>"14:00:55.852"</f>
        <v>14:00:55.852</v>
      </c>
      <c r="T1254" t="str">
        <f>"14:00:55.352"</f>
        <v>14:00:55.352</v>
      </c>
      <c r="U1254" t="str">
        <f t="shared" si="61"/>
        <v>A92BC1</v>
      </c>
      <c r="V1254">
        <v>0</v>
      </c>
      <c r="W1254">
        <v>0</v>
      </c>
      <c r="X1254">
        <v>2</v>
      </c>
      <c r="Z1254">
        <v>0</v>
      </c>
      <c r="AA1254">
        <v>0</v>
      </c>
      <c r="AB1254">
        <v>3</v>
      </c>
      <c r="AC1254">
        <v>0</v>
      </c>
      <c r="AD1254">
        <v>7</v>
      </c>
      <c r="AE1254">
        <v>0</v>
      </c>
      <c r="AF1254">
        <v>3</v>
      </c>
      <c r="AG1254">
        <v>2</v>
      </c>
      <c r="AH1254">
        <v>0</v>
      </c>
      <c r="AI1254" t="s">
        <v>1347</v>
      </c>
      <c r="AJ1254">
        <v>45.924717999999999</v>
      </c>
      <c r="AK1254" t="s">
        <v>1348</v>
      </c>
      <c r="AL1254">
        <v>-89.023869000000005</v>
      </c>
      <c r="AM1254">
        <v>100</v>
      </c>
      <c r="AN1254">
        <v>11800</v>
      </c>
      <c r="AO1254" t="s">
        <v>118</v>
      </c>
      <c r="AP1254">
        <v>36</v>
      </c>
      <c r="AQ1254">
        <v>-45</v>
      </c>
      <c r="AR1254">
        <v>-21248</v>
      </c>
      <c r="AZ1254">
        <v>1200</v>
      </c>
      <c r="BA1254">
        <v>1</v>
      </c>
      <c r="BB1254" t="str">
        <f t="shared" si="60"/>
        <v xml:space="preserve">N690LS  </v>
      </c>
      <c r="BC1254">
        <v>1</v>
      </c>
      <c r="BE1254">
        <v>0</v>
      </c>
      <c r="BF1254">
        <v>0</v>
      </c>
      <c r="BG1254">
        <v>0</v>
      </c>
      <c r="BH1254">
        <v>13250</v>
      </c>
      <c r="BI1254">
        <v>1</v>
      </c>
      <c r="BJ1254">
        <v>1</v>
      </c>
      <c r="BK1254">
        <v>1</v>
      </c>
      <c r="BL1254">
        <v>0</v>
      </c>
      <c r="BO1254">
        <v>0</v>
      </c>
      <c r="BP1254">
        <v>0</v>
      </c>
      <c r="BW1254" t="str">
        <f>"14:00:55.859"</f>
        <v>14:00:55.859</v>
      </c>
      <c r="CJ1254">
        <v>0</v>
      </c>
      <c r="CK1254">
        <v>1</v>
      </c>
      <c r="CL1254">
        <v>0</v>
      </c>
      <c r="CM1254">
        <v>2</v>
      </c>
      <c r="CN1254">
        <v>0</v>
      </c>
      <c r="CO1254">
        <v>7</v>
      </c>
      <c r="CP1254" t="s">
        <v>119</v>
      </c>
      <c r="CQ1254">
        <v>209</v>
      </c>
      <c r="CR1254">
        <v>3</v>
      </c>
      <c r="CW1254">
        <v>7311672</v>
      </c>
      <c r="CY1254">
        <v>1</v>
      </c>
      <c r="CZ1254">
        <v>0</v>
      </c>
      <c r="DA1254">
        <v>1</v>
      </c>
      <c r="DB1254">
        <v>0</v>
      </c>
      <c r="DC1254">
        <v>0</v>
      </c>
      <c r="DD1254">
        <v>1</v>
      </c>
      <c r="DE1254">
        <v>1</v>
      </c>
      <c r="DF1254">
        <v>0</v>
      </c>
      <c r="DG1254">
        <v>1</v>
      </c>
      <c r="DH1254">
        <v>0</v>
      </c>
      <c r="DI1254">
        <v>0</v>
      </c>
    </row>
    <row r="1255" spans="1:113" x14ac:dyDescent="0.3">
      <c r="A1255" t="str">
        <f>"09/28/2021 14:00:57.091"</f>
        <v>09/28/2021 14:00:57.091</v>
      </c>
      <c r="C1255" t="str">
        <f t="shared" si="59"/>
        <v>FFDFD3C0</v>
      </c>
      <c r="D1255" t="s">
        <v>120</v>
      </c>
      <c r="E1255">
        <v>12</v>
      </c>
      <c r="F1255">
        <v>1012</v>
      </c>
      <c r="G1255" t="s">
        <v>114</v>
      </c>
      <c r="J1255" t="s">
        <v>121</v>
      </c>
      <c r="K1255">
        <v>0</v>
      </c>
      <c r="L1255">
        <v>3</v>
      </c>
      <c r="M1255">
        <v>0</v>
      </c>
      <c r="N1255">
        <v>2</v>
      </c>
      <c r="O1255">
        <v>1</v>
      </c>
      <c r="P1255">
        <v>0</v>
      </c>
      <c r="Q1255">
        <v>0</v>
      </c>
      <c r="S1255" t="str">
        <f>"14:00:56.852"</f>
        <v>14:00:56.852</v>
      </c>
      <c r="T1255" t="str">
        <f>"14:00:56.452"</f>
        <v>14:00:56.452</v>
      </c>
      <c r="U1255" t="str">
        <f t="shared" si="61"/>
        <v>A92BC1</v>
      </c>
      <c r="V1255">
        <v>0</v>
      </c>
      <c r="W1255">
        <v>0</v>
      </c>
      <c r="X1255">
        <v>2</v>
      </c>
      <c r="Z1255">
        <v>0</v>
      </c>
      <c r="AA1255">
        <v>0</v>
      </c>
      <c r="AB1255">
        <v>3</v>
      </c>
      <c r="AC1255">
        <v>0</v>
      </c>
      <c r="AD1255">
        <v>7</v>
      </c>
      <c r="AE1255">
        <v>0</v>
      </c>
      <c r="AF1255">
        <v>3</v>
      </c>
      <c r="AG1255">
        <v>0</v>
      </c>
      <c r="AH1255">
        <v>0</v>
      </c>
      <c r="AI1255" t="s">
        <v>1349</v>
      </c>
      <c r="AJ1255">
        <v>45.924847</v>
      </c>
      <c r="AK1255" t="s">
        <v>1346</v>
      </c>
      <c r="AL1255">
        <v>-89.024147999999997</v>
      </c>
      <c r="AM1255">
        <v>100</v>
      </c>
      <c r="AN1255">
        <v>11400</v>
      </c>
      <c r="AO1255" t="s">
        <v>118</v>
      </c>
      <c r="AP1255">
        <v>-40</v>
      </c>
      <c r="AQ1255">
        <v>37</v>
      </c>
      <c r="AR1255">
        <v>-32640</v>
      </c>
      <c r="AZ1255">
        <v>1200</v>
      </c>
      <c r="BA1255">
        <v>1</v>
      </c>
      <c r="BB1255" t="str">
        <f t="shared" si="60"/>
        <v xml:space="preserve">N690LS  </v>
      </c>
      <c r="BC1255">
        <v>1</v>
      </c>
      <c r="BE1255">
        <v>0</v>
      </c>
      <c r="BF1255">
        <v>0</v>
      </c>
      <c r="BG1255">
        <v>0</v>
      </c>
      <c r="BH1255">
        <v>12225</v>
      </c>
      <c r="BI1255">
        <v>1</v>
      </c>
      <c r="BJ1255">
        <v>1</v>
      </c>
      <c r="BK1255">
        <v>1</v>
      </c>
      <c r="BL1255">
        <v>0</v>
      </c>
      <c r="BO1255">
        <v>0</v>
      </c>
      <c r="BP1255">
        <v>0</v>
      </c>
      <c r="BW1255" t="str">
        <f>"14:00:56.852"</f>
        <v>14:00:56.852</v>
      </c>
      <c r="CJ1255">
        <v>0</v>
      </c>
      <c r="CK1255">
        <v>1</v>
      </c>
      <c r="CL1255">
        <v>0</v>
      </c>
      <c r="CM1255">
        <v>2</v>
      </c>
      <c r="CN1255">
        <v>0</v>
      </c>
      <c r="CO1255">
        <v>7</v>
      </c>
      <c r="CP1255" t="s">
        <v>119</v>
      </c>
      <c r="CQ1255">
        <v>209</v>
      </c>
      <c r="CR1255">
        <v>3</v>
      </c>
      <c r="CW1255">
        <v>7312038</v>
      </c>
      <c r="CY1255">
        <v>1</v>
      </c>
      <c r="CZ1255">
        <v>0</v>
      </c>
      <c r="DA1255">
        <v>0</v>
      </c>
      <c r="DB1255">
        <v>0</v>
      </c>
      <c r="DC1255">
        <v>0</v>
      </c>
      <c r="DD1255">
        <v>1</v>
      </c>
      <c r="DE1255">
        <v>1</v>
      </c>
      <c r="DF1255">
        <v>0</v>
      </c>
      <c r="DG1255">
        <v>1</v>
      </c>
      <c r="DH1255">
        <v>1</v>
      </c>
      <c r="DI1255">
        <v>0</v>
      </c>
    </row>
    <row r="1256" spans="1:113" x14ac:dyDescent="0.3">
      <c r="A1256" t="str">
        <f>"09/28/2021 14:00:57.153"</f>
        <v>09/28/2021 14:00:57.153</v>
      </c>
      <c r="C1256" t="str">
        <f t="shared" si="59"/>
        <v>FFDFD3C0</v>
      </c>
      <c r="D1256" t="s">
        <v>113</v>
      </c>
      <c r="E1256">
        <v>7</v>
      </c>
      <c r="H1256">
        <v>170</v>
      </c>
      <c r="I1256" t="s">
        <v>114</v>
      </c>
      <c r="J1256" t="s">
        <v>115</v>
      </c>
      <c r="K1256">
        <v>0</v>
      </c>
      <c r="L1256">
        <v>3</v>
      </c>
      <c r="M1256">
        <v>0</v>
      </c>
      <c r="N1256">
        <v>2</v>
      </c>
      <c r="O1256">
        <v>1</v>
      </c>
      <c r="P1256">
        <v>0</v>
      </c>
      <c r="Q1256">
        <v>0</v>
      </c>
      <c r="S1256" t="str">
        <f>"14:00:56.852"</f>
        <v>14:00:56.852</v>
      </c>
      <c r="T1256" t="str">
        <f>"14:00:56.452"</f>
        <v>14:00:56.452</v>
      </c>
      <c r="U1256" t="str">
        <f t="shared" si="61"/>
        <v>A92BC1</v>
      </c>
      <c r="V1256">
        <v>0</v>
      </c>
      <c r="W1256">
        <v>0</v>
      </c>
      <c r="X1256">
        <v>2</v>
      </c>
      <c r="Z1256">
        <v>0</v>
      </c>
      <c r="AA1256">
        <v>0</v>
      </c>
      <c r="AB1256">
        <v>3</v>
      </c>
      <c r="AC1256">
        <v>0</v>
      </c>
      <c r="AD1256">
        <v>7</v>
      </c>
      <c r="AE1256">
        <v>0</v>
      </c>
      <c r="AF1256">
        <v>3</v>
      </c>
      <c r="AG1256">
        <v>0</v>
      </c>
      <c r="AH1256">
        <v>0</v>
      </c>
      <c r="AI1256" t="s">
        <v>1349</v>
      </c>
      <c r="AJ1256">
        <v>45.924847</v>
      </c>
      <c r="AK1256" t="s">
        <v>1346</v>
      </c>
      <c r="AL1256">
        <v>-89.024147999999997</v>
      </c>
      <c r="AM1256">
        <v>100</v>
      </c>
      <c r="AN1256">
        <v>11400</v>
      </c>
      <c r="AO1256" t="s">
        <v>118</v>
      </c>
      <c r="AP1256">
        <v>-40</v>
      </c>
      <c r="AQ1256">
        <v>37</v>
      </c>
      <c r="AR1256">
        <v>-32640</v>
      </c>
      <c r="AZ1256">
        <v>1200</v>
      </c>
      <c r="BA1256">
        <v>1</v>
      </c>
      <c r="BB1256" t="str">
        <f t="shared" si="60"/>
        <v xml:space="preserve">N690LS  </v>
      </c>
      <c r="BC1256">
        <v>1</v>
      </c>
      <c r="BE1256">
        <v>0</v>
      </c>
      <c r="BF1256">
        <v>0</v>
      </c>
      <c r="BG1256">
        <v>0</v>
      </c>
      <c r="BH1256">
        <v>12225</v>
      </c>
      <c r="BI1256">
        <v>1</v>
      </c>
      <c r="BJ1256">
        <v>1</v>
      </c>
      <c r="BK1256">
        <v>1</v>
      </c>
      <c r="BL1256">
        <v>0</v>
      </c>
      <c r="BO1256">
        <v>0</v>
      </c>
      <c r="BP1256">
        <v>0</v>
      </c>
      <c r="BW1256" t="str">
        <f>"14:00:56.852"</f>
        <v>14:00:56.852</v>
      </c>
      <c r="CJ1256">
        <v>0</v>
      </c>
      <c r="CK1256">
        <v>1</v>
      </c>
      <c r="CL1256">
        <v>0</v>
      </c>
      <c r="CM1256">
        <v>2</v>
      </c>
      <c r="CN1256">
        <v>0</v>
      </c>
      <c r="CO1256">
        <v>7</v>
      </c>
      <c r="CP1256" t="s">
        <v>119</v>
      </c>
      <c r="CQ1256">
        <v>209</v>
      </c>
      <c r="CR1256">
        <v>3</v>
      </c>
      <c r="CW1256">
        <v>7312038</v>
      </c>
      <c r="CY1256">
        <v>1</v>
      </c>
      <c r="CZ1256">
        <v>0</v>
      </c>
      <c r="DA1256">
        <v>1</v>
      </c>
      <c r="DB1256">
        <v>0</v>
      </c>
      <c r="DC1256">
        <v>0</v>
      </c>
      <c r="DD1256">
        <v>1</v>
      </c>
      <c r="DE1256">
        <v>1</v>
      </c>
      <c r="DF1256">
        <v>0</v>
      </c>
      <c r="DG1256">
        <v>1</v>
      </c>
      <c r="DH1256">
        <v>1</v>
      </c>
      <c r="DI125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20210928_A92BC1_466220674_ADSB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Torgerson, Anne (FAA)</dc:creator>
  <cp:lastModifiedBy>Torgerson, Anne (FAA)</cp:lastModifiedBy>
  <dcterms:created xsi:type="dcterms:W3CDTF">2021-09-28T17:21:39Z</dcterms:created>
  <dcterms:modified xsi:type="dcterms:W3CDTF">2021-09-28T17:21:40Z</dcterms:modified>
</cp:coreProperties>
</file>